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5033\Documents\"/>
    </mc:Choice>
  </mc:AlternateContent>
  <workbookProtection lockStructure="1"/>
  <bookViews>
    <workbookView xWindow="0" yWindow="0" windowWidth="23040" windowHeight="10644"/>
  </bookViews>
  <sheets>
    <sheet name="Roth Conversion" sheetId="1" r:id="rId1"/>
  </sheets>
  <definedNames>
    <definedName name="_xlnm.Print_Area" localSheetId="0">'Roth Conversion'!$A$1:$F$53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B35" i="1" s="1"/>
  <c r="J11" i="1" l="1"/>
  <c r="G24" i="1"/>
  <c r="B34" i="1" s="1"/>
  <c r="G23" i="1"/>
  <c r="B30" i="1" s="1"/>
  <c r="J14" i="1" l="1"/>
  <c r="J15" i="1"/>
  <c r="F17" i="1" l="1"/>
  <c r="F18" i="1"/>
  <c r="F19" i="1"/>
  <c r="F20" i="1"/>
  <c r="F21" i="1"/>
  <c r="F22" i="1"/>
  <c r="E22" i="1"/>
  <c r="E21" i="1"/>
  <c r="E20" i="1"/>
  <c r="E19" i="1"/>
  <c r="E18" i="1"/>
  <c r="E17" i="1"/>
  <c r="B43" i="1" l="1"/>
  <c r="B18" i="1" l="1"/>
  <c r="B19" i="1"/>
  <c r="G6" i="1"/>
  <c r="G16" i="1" l="1"/>
  <c r="G17" i="1"/>
  <c r="G18" i="1"/>
  <c r="G19" i="1"/>
  <c r="G20" i="1"/>
  <c r="G21" i="1"/>
  <c r="A5" i="1"/>
  <c r="B41" i="1" l="1"/>
  <c r="B47" i="1" s="1"/>
  <c r="B48" i="1" l="1"/>
  <c r="B49" i="1" s="1"/>
  <c r="B50" i="1" s="1"/>
  <c r="I13" i="1"/>
  <c r="I11" i="1"/>
  <c r="I18" i="1" l="1"/>
  <c r="G11" i="1"/>
  <c r="I16" i="1" l="1"/>
  <c r="G15" i="1"/>
  <c r="G4" i="1"/>
  <c r="G5" i="1"/>
  <c r="G7" i="1"/>
  <c r="B33" i="1" s="1"/>
  <c r="G8" i="1"/>
  <c r="G9" i="1"/>
  <c r="G10" i="1"/>
  <c r="B20" i="1"/>
  <c r="G3" i="1"/>
  <c r="J16" i="1" s="1"/>
  <c r="J13" i="1"/>
  <c r="G13" i="1" l="1"/>
  <c r="B24" i="1" s="1"/>
  <c r="G12" i="1"/>
  <c r="I12" i="1"/>
  <c r="B23" i="1" l="1"/>
  <c r="B42" i="1"/>
  <c r="B44" i="1" s="1"/>
  <c r="B22" i="1" l="1"/>
  <c r="B25" i="1" s="1"/>
  <c r="B36" i="1"/>
  <c r="B37" i="1"/>
  <c r="B27" i="1" l="1"/>
  <c r="B29" i="1"/>
  <c r="B51" i="1" s="1"/>
  <c r="B52" i="1" s="1"/>
  <c r="B53" i="1" s="1"/>
  <c r="A53" i="1" s="1"/>
  <c r="B31" i="1"/>
  <c r="B28" i="1"/>
  <c r="B32" i="1"/>
  <c r="E47" i="1" l="1"/>
  <c r="E48" i="1" l="1"/>
  <c r="E49" i="1" s="1"/>
  <c r="E50" i="1" s="1"/>
  <c r="E53" i="1" s="1"/>
  <c r="B38" i="1" s="1"/>
  <c r="D41" i="1" l="1"/>
  <c r="E41" i="1"/>
  <c r="F41" i="1"/>
  <c r="E40" i="1"/>
  <c r="F40" i="1"/>
  <c r="D52" i="1"/>
  <c r="C37" i="1" l="1"/>
  <c r="D37" i="1" s="1"/>
  <c r="F42" i="1" l="1"/>
  <c r="E42" i="1" l="1"/>
  <c r="D38" i="1"/>
  <c r="D39" i="1" s="1"/>
  <c r="D42" i="1"/>
</calcChain>
</file>

<file path=xl/sharedStrings.xml><?xml version="1.0" encoding="utf-8"?>
<sst xmlns="http://schemas.openxmlformats.org/spreadsheetml/2006/main" count="98" uniqueCount="96">
  <si>
    <t>Annual amount of Social Security currently receiving</t>
  </si>
  <si>
    <t>Social Security Taxability Calculation</t>
  </si>
  <si>
    <t>Income according to SS Rules</t>
  </si>
  <si>
    <t xml:space="preserve">85% of Social Security </t>
  </si>
  <si>
    <t>50% of Social Security</t>
  </si>
  <si>
    <t>Elder Deduction</t>
  </si>
  <si>
    <t>Standard Deduction</t>
  </si>
  <si>
    <t>Single</t>
  </si>
  <si>
    <t>Dividends &amp; Interest on taxable accounts (to date &amp; future estimates)</t>
  </si>
  <si>
    <t>Difference between 85% and 50% of SS</t>
  </si>
  <si>
    <t>12% tax on the difference (35%)</t>
  </si>
  <si>
    <t>Percentage of extra tax</t>
  </si>
  <si>
    <t>Important Thresholds</t>
  </si>
  <si>
    <t>Married</t>
  </si>
  <si>
    <t>Taxable 10% Federal Tax Bracket:</t>
  </si>
  <si>
    <t>Taxable 12% Federal Tax Bracket:</t>
  </si>
  <si>
    <t>Taxable 22% Federal Tax Bracket:</t>
  </si>
  <si>
    <t>50% of Combined Income SS Taxed:</t>
  </si>
  <si>
    <t>"Gross" Limit for Medicare Pt B:</t>
  </si>
  <si>
    <t>65 or Over</t>
  </si>
  <si>
    <t>Additional Deduction (over age 65)</t>
  </si>
  <si>
    <t>Other Income</t>
  </si>
  <si>
    <t>Able to Convert and have Social Security Not Taxed:</t>
  </si>
  <si>
    <t>Able to Convert and keep only 50% of Social Security Taxed:</t>
  </si>
  <si>
    <t>Able to Convert in the 10% Tax Bracket:</t>
  </si>
  <si>
    <t>Able to Convert in the 12% Tax Bracket:</t>
  </si>
  <si>
    <t>Able to Convert in the 22% Tax Bracket:</t>
  </si>
  <si>
    <t>Taxable Income before Conversion</t>
  </si>
  <si>
    <t>Client</t>
  </si>
  <si>
    <t>Client 1</t>
  </si>
  <si>
    <t>Client 2</t>
  </si>
  <si>
    <t>Additional tax on 35% of SS if converting to top of 12% Bracket</t>
  </si>
  <si>
    <t>RECOMMENDED CONVERSION AMOUNT:</t>
  </si>
  <si>
    <t>Able to Convert &amp; Remain Below Medicare Part B IRMAA:</t>
  </si>
  <si>
    <t>Net Rental Income</t>
  </si>
  <si>
    <t>Net Business Income</t>
  </si>
  <si>
    <t>QBI Deducution</t>
  </si>
  <si>
    <t>QBI "Taxable" Income Limits</t>
  </si>
  <si>
    <t>Annual Social Security Benefits (Gross)</t>
  </si>
  <si>
    <t>Annual Pension Income (Gross)</t>
  </si>
  <si>
    <t>Annual Wage/Salary Income (Gross)</t>
  </si>
  <si>
    <t>Estimated Realized Capital Gains/Losses on taxable accounts</t>
  </si>
  <si>
    <t>Income Estimates</t>
  </si>
  <si>
    <t>Other Gross Income:</t>
  </si>
  <si>
    <t>Gross Income</t>
  </si>
  <si>
    <t>Gross Income (counting 85% of SS benefits)</t>
  </si>
  <si>
    <t>Additional Tax on 50% of SS if converting to 50% top</t>
  </si>
  <si>
    <t>Difference in Amount Converted:</t>
  </si>
  <si>
    <t>% of extra tax:</t>
  </si>
  <si>
    <t>How much savings?</t>
  </si>
  <si>
    <t>How much savings vs. rates rising?</t>
  </si>
  <si>
    <t>Expected Increase in Tax Rates:</t>
  </si>
  <si>
    <t>When do we expect tax increases?</t>
  </si>
  <si>
    <t>12% Tax on 50% of SS:</t>
  </si>
  <si>
    <t>Under 63</t>
  </si>
  <si>
    <t>Able to Convert in the 0% Tax Bracket:</t>
  </si>
  <si>
    <t>Yes</t>
  </si>
  <si>
    <t>No</t>
  </si>
  <si>
    <t>Client Name (required)</t>
  </si>
  <si>
    <t>Filing Status (required)</t>
  </si>
  <si>
    <t>Age of Client 1 (required)</t>
  </si>
  <si>
    <t>63 or 64</t>
  </si>
  <si>
    <t>Federal Poverty Level (FPL - MAGI)</t>
  </si>
  <si>
    <t>100% FPL</t>
  </si>
  <si>
    <t>138% FPL</t>
  </si>
  <si>
    <t>150% FPL</t>
  </si>
  <si>
    <t>200% FPL</t>
  </si>
  <si>
    <t>300% FPL</t>
  </si>
  <si>
    <t>400% FPL</t>
  </si>
  <si>
    <t>Are you eligible to receive an ACA health insurance subsidy?</t>
  </si>
  <si>
    <t>85% of Combined Income SS Taxed:</t>
  </si>
  <si>
    <t>Residence State (required)</t>
  </si>
  <si>
    <t>OR</t>
  </si>
  <si>
    <t>AZ</t>
  </si>
  <si>
    <t>WA</t>
  </si>
  <si>
    <t>CA</t>
  </si>
  <si>
    <t>TX</t>
  </si>
  <si>
    <t>CO</t>
  </si>
  <si>
    <t>Other</t>
  </si>
  <si>
    <t>Taxable 24% Federal Tax Bracket:</t>
  </si>
  <si>
    <t>Able to Convert in the 24% Tax Bracket:</t>
  </si>
  <si>
    <t>Total Pre-Tax 401k/HSA Payroll Deductions for the year</t>
  </si>
  <si>
    <t>250% FPL</t>
  </si>
  <si>
    <t>Oregon Exemption Credit AGI limit</t>
  </si>
  <si>
    <t>2025-2028 Elder deduction</t>
  </si>
  <si>
    <t>2025-2028 Elder Deduction (65+)</t>
  </si>
  <si>
    <t>2025-28 65+</t>
  </si>
  <si>
    <t>Reduced %</t>
  </si>
  <si>
    <t>Cash Donations made to charity (up to $1,000 single, $2,000 married)</t>
  </si>
  <si>
    <t>IRA Distributions (net of QCDs)</t>
  </si>
  <si>
    <t>2025-28 Elder Deduction Full Ded:</t>
  </si>
  <si>
    <t>2025-28 Elder Deduction Full Phase:</t>
  </si>
  <si>
    <t>IRMAA 2-yr Inflation Rate Estimate:</t>
  </si>
  <si>
    <t>Able to Convert &amp; Still Qualify for Partial 2025-28 Elder Deduction:</t>
  </si>
  <si>
    <t>Able to Convert &amp; Qualify for Full 2025-2028 Elder Deduction:</t>
  </si>
  <si>
    <t>Able to Convert &amp; Qualify for the Oregon Exemption Credit: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</si>
</sst>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0_);\(0\)"/>
    <numFmt numFmtId="167" formatCode="_([$$-409]* #,##0_);_([$$-409]* \(#,##0\);_([$$-409]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F7B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165" fontId="0" fillId="0" borderId="0" xfId="0" applyNumberForma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16" xfId="0" applyFont="1" applyBorder="1" applyAlignment="1">
      <alignment horizontal="left" indent="1"/>
    </xf>
    <xf numFmtId="0" fontId="7" fillId="0" borderId="0" xfId="0" applyFont="1"/>
    <xf numFmtId="0" fontId="9" fillId="0" borderId="0" xfId="0" applyFont="1"/>
    <xf numFmtId="0" fontId="8" fillId="0" borderId="4" xfId="0" applyFont="1" applyBorder="1"/>
    <xf numFmtId="0" fontId="8" fillId="0" borderId="5" xfId="0" applyFont="1" applyBorder="1"/>
    <xf numFmtId="165" fontId="9" fillId="0" borderId="0" xfId="0" applyNumberFormat="1" applyFont="1"/>
    <xf numFmtId="0" fontId="9" fillId="0" borderId="5" xfId="0" applyFont="1" applyBorder="1"/>
    <xf numFmtId="165" fontId="9" fillId="4" borderId="1" xfId="1" applyNumberFormat="1" applyFont="1" applyFill="1" applyBorder="1"/>
    <xf numFmtId="165" fontId="9" fillId="4" borderId="7" xfId="1" applyNumberFormat="1" applyFont="1" applyFill="1" applyBorder="1"/>
    <xf numFmtId="165" fontId="9" fillId="2" borderId="1" xfId="1" applyNumberFormat="1" applyFont="1" applyFill="1" applyBorder="1" applyProtection="1">
      <protection locked="0"/>
    </xf>
    <xf numFmtId="9" fontId="9" fillId="0" borderId="0" xfId="0" applyNumberFormat="1" applyFont="1"/>
    <xf numFmtId="0" fontId="9" fillId="0" borderId="5" xfId="0" applyFont="1" applyFill="1" applyBorder="1"/>
    <xf numFmtId="0" fontId="9" fillId="0" borderId="11" xfId="0" applyFont="1" applyBorder="1"/>
    <xf numFmtId="165" fontId="9" fillId="0" borderId="12" xfId="1" applyNumberFormat="1" applyFont="1" applyBorder="1" applyAlignment="1">
      <alignment horizontal="center"/>
    </xf>
    <xf numFmtId="0" fontId="9" fillId="0" borderId="8" xfId="0" applyFont="1" applyBorder="1"/>
    <xf numFmtId="0" fontId="9" fillId="0" borderId="20" xfId="0" applyFont="1" applyBorder="1"/>
    <xf numFmtId="0" fontId="9" fillId="0" borderId="0" xfId="0" applyFont="1" applyBorder="1" applyAlignment="1">
      <alignment horizontal="center"/>
    </xf>
    <xf numFmtId="0" fontId="9" fillId="0" borderId="13" xfId="0" applyFont="1" applyBorder="1"/>
    <xf numFmtId="9" fontId="9" fillId="2" borderId="1" xfId="0" applyNumberFormat="1" applyFont="1" applyFill="1" applyBorder="1" applyAlignment="1" applyProtection="1">
      <alignment horizontal="center"/>
      <protection locked="0"/>
    </xf>
    <xf numFmtId="166" fontId="9" fillId="4" borderId="1" xfId="1" applyNumberFormat="1" applyFont="1" applyFill="1" applyBorder="1" applyAlignment="1">
      <alignment horizontal="center"/>
    </xf>
    <xf numFmtId="0" fontId="9" fillId="0" borderId="14" xfId="0" applyFont="1" applyBorder="1"/>
    <xf numFmtId="0" fontId="8" fillId="0" borderId="17" xfId="0" applyFont="1" applyBorder="1"/>
    <xf numFmtId="165" fontId="8" fillId="0" borderId="17" xfId="1" applyNumberFormat="1" applyFont="1" applyFill="1" applyBorder="1"/>
    <xf numFmtId="0" fontId="9" fillId="0" borderId="0" xfId="0" applyFont="1" applyFill="1"/>
    <xf numFmtId="0" fontId="8" fillId="0" borderId="0" xfId="0" applyFont="1"/>
    <xf numFmtId="0" fontId="9" fillId="0" borderId="0" xfId="0" applyFont="1" applyBorder="1"/>
    <xf numFmtId="165" fontId="9" fillId="0" borderId="0" xfId="1" applyNumberFormat="1" applyFont="1" applyFill="1" applyBorder="1"/>
    <xf numFmtId="165" fontId="9" fillId="0" borderId="0" xfId="1" applyNumberFormat="1" applyFont="1" applyFill="1"/>
    <xf numFmtId="0" fontId="8" fillId="0" borderId="0" xfId="0" applyFont="1" applyFill="1"/>
    <xf numFmtId="165" fontId="8" fillId="0" borderId="0" xfId="1" applyNumberFormat="1" applyFont="1" applyFill="1"/>
    <xf numFmtId="0" fontId="10" fillId="3" borderId="10" xfId="0" applyFont="1" applyFill="1" applyBorder="1"/>
    <xf numFmtId="165" fontId="10" fillId="3" borderId="18" xfId="1" applyNumberFormat="1" applyFont="1" applyFill="1" applyBorder="1"/>
    <xf numFmtId="5" fontId="11" fillId="0" borderId="19" xfId="1" applyNumberFormat="1" applyFont="1" applyBorder="1" applyAlignment="1">
      <alignment horizontal="left" indent="1"/>
    </xf>
    <xf numFmtId="0" fontId="12" fillId="0" borderId="15" xfId="0" applyFont="1" applyBorder="1" applyAlignment="1">
      <alignment horizontal="left" indent="1"/>
    </xf>
    <xf numFmtId="9" fontId="9" fillId="0" borderId="0" xfId="0" applyNumberFormat="1" applyFont="1" applyFill="1"/>
    <xf numFmtId="165" fontId="7" fillId="0" borderId="0" xfId="1" applyNumberFormat="1" applyFont="1"/>
    <xf numFmtId="0" fontId="11" fillId="0" borderId="0" xfId="0" applyFont="1"/>
    <xf numFmtId="165" fontId="11" fillId="0" borderId="0" xfId="1" applyNumberFormat="1" applyFont="1"/>
    <xf numFmtId="0" fontId="13" fillId="0" borderId="14" xfId="0" applyFont="1" applyBorder="1"/>
    <xf numFmtId="44" fontId="9" fillId="0" borderId="14" xfId="1" applyFont="1" applyBorder="1"/>
    <xf numFmtId="165" fontId="9" fillId="0" borderId="0" xfId="1" applyNumberFormat="1" applyFont="1" applyFill="1" applyAlignment="1">
      <alignment horizontal="center"/>
    </xf>
    <xf numFmtId="165" fontId="9" fillId="0" borderId="0" xfId="1" applyNumberFormat="1" applyFont="1" applyAlignment="1">
      <alignment horizontal="center"/>
    </xf>
    <xf numFmtId="164" fontId="9" fillId="0" borderId="0" xfId="2" applyNumberFormat="1" applyFont="1"/>
    <xf numFmtId="164" fontId="9" fillId="0" borderId="0" xfId="0" applyNumberFormat="1" applyFont="1"/>
    <xf numFmtId="164" fontId="9" fillId="0" borderId="0" xfId="2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9" fillId="4" borderId="21" xfId="1" applyNumberFormat="1" applyFont="1" applyFill="1" applyBorder="1"/>
    <xf numFmtId="165" fontId="9" fillId="4" borderId="22" xfId="1" applyNumberFormat="1" applyFont="1" applyFill="1" applyBorder="1"/>
    <xf numFmtId="0" fontId="9" fillId="0" borderId="23" xfId="0" applyFont="1" applyBorder="1"/>
    <xf numFmtId="0" fontId="8" fillId="0" borderId="24" xfId="0" applyFont="1" applyBorder="1"/>
    <xf numFmtId="0" fontId="9" fillId="0" borderId="25" xfId="0" applyFont="1" applyBorder="1"/>
    <xf numFmtId="9" fontId="9" fillId="0" borderId="5" xfId="0" applyNumberFormat="1" applyFont="1" applyBorder="1"/>
    <xf numFmtId="165" fontId="9" fillId="0" borderId="0" xfId="1" applyNumberFormat="1" applyFont="1"/>
    <xf numFmtId="165" fontId="0" fillId="0" borderId="0" xfId="1" applyNumberFormat="1" applyFont="1"/>
    <xf numFmtId="0" fontId="8" fillId="5" borderId="1" xfId="0" applyFont="1" applyFill="1" applyBorder="1" applyAlignment="1" applyProtection="1">
      <alignment horizontal="center"/>
      <protection locked="0"/>
    </xf>
    <xf numFmtId="0" fontId="14" fillId="0" borderId="2" xfId="0" applyFont="1" applyBorder="1"/>
    <xf numFmtId="0" fontId="14" fillId="4" borderId="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11" fillId="0" borderId="0" xfId="1" applyNumberFormat="1" applyFont="1" applyAlignment="1">
      <alignment horizontal="center"/>
    </xf>
    <xf numFmtId="0" fontId="8" fillId="0" borderId="0" xfId="0" applyFont="1" applyAlignment="1"/>
    <xf numFmtId="165" fontId="9" fillId="6" borderId="21" xfId="1" applyNumberFormat="1" applyFont="1" applyFill="1" applyBorder="1"/>
    <xf numFmtId="165" fontId="9" fillId="6" borderId="22" xfId="1" applyNumberFormat="1" applyFont="1" applyFill="1" applyBorder="1"/>
    <xf numFmtId="0" fontId="9" fillId="0" borderId="20" xfId="0" quotePrefix="1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0" xfId="0" applyFont="1" applyFill="1" applyBorder="1"/>
    <xf numFmtId="0" fontId="9" fillId="0" borderId="29" xfId="0" applyFont="1" applyBorder="1"/>
    <xf numFmtId="165" fontId="9" fillId="0" borderId="0" xfId="1" applyNumberFormat="1" applyFont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7" borderId="1" xfId="0" applyFont="1" applyFill="1" applyBorder="1" applyAlignment="1" applyProtection="1">
      <alignment horizontal="center"/>
      <protection locked="0"/>
    </xf>
    <xf numFmtId="0" fontId="9" fillId="0" borderId="2" xfId="0" applyFont="1" applyBorder="1"/>
    <xf numFmtId="165" fontId="9" fillId="8" borderId="3" xfId="1" applyNumberFormat="1" applyFont="1" applyFill="1" applyBorder="1"/>
    <xf numFmtId="165" fontId="9" fillId="8" borderId="30" xfId="1" applyNumberFormat="1" applyFont="1" applyFill="1" applyBorder="1"/>
    <xf numFmtId="165" fontId="9" fillId="8" borderId="9" xfId="1" applyNumberFormat="1" applyFont="1" applyFill="1" applyBorder="1"/>
    <xf numFmtId="165" fontId="9" fillId="8" borderId="26" xfId="1" applyNumberFormat="1" applyFont="1" applyFill="1" applyBorder="1"/>
    <xf numFmtId="167" fontId="9" fillId="2" borderId="1" xfId="0" applyNumberFormat="1" applyFont="1" applyFill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Normal="100" workbookViewId="0">
      <selection activeCell="A12" sqref="A12"/>
    </sheetView>
  </sheetViews>
  <sheetFormatPr defaultRowHeight="14.4" x14ac:dyDescent="0.3"/>
  <cols>
    <col min="1" max="1" width="67.44140625" customWidth="1"/>
    <col min="2" max="2" width="10.77734375" customWidth="1"/>
    <col min="3" max="3" width="3.77734375" customWidth="1"/>
    <col min="4" max="4" width="34.109375" customWidth="1"/>
    <col min="5" max="6" width="10.77734375" customWidth="1"/>
    <col min="7" max="7" width="12.5546875" style="64" customWidth="1"/>
    <col min="8" max="8" width="14.21875" bestFit="1" customWidth="1"/>
    <col min="9" max="9" width="11.21875" bestFit="1" customWidth="1"/>
    <col min="10" max="10" width="11.33203125" bestFit="1" customWidth="1"/>
  </cols>
  <sheetData>
    <row r="1" spans="1:11" s="11" customFormat="1" ht="18" x14ac:dyDescent="0.35">
      <c r="A1" s="10" t="s">
        <v>58</v>
      </c>
      <c r="B1" s="65"/>
      <c r="D1" s="66" t="s">
        <v>12</v>
      </c>
      <c r="E1" s="67">
        <v>2025</v>
      </c>
      <c r="F1" s="12"/>
      <c r="G1" s="50" t="s">
        <v>28</v>
      </c>
      <c r="I1" t="s">
        <v>29</v>
      </c>
      <c r="J1" t="s">
        <v>30</v>
      </c>
    </row>
    <row r="2" spans="1:11" s="11" customFormat="1" ht="15.6" x14ac:dyDescent="0.3">
      <c r="A2" s="10" t="s">
        <v>59</v>
      </c>
      <c r="B2" s="80"/>
      <c r="D2" s="13"/>
      <c r="E2" s="55" t="s">
        <v>7</v>
      </c>
      <c r="F2" s="56" t="s">
        <v>13</v>
      </c>
    </row>
    <row r="3" spans="1:11" s="11" customFormat="1" ht="15.6" x14ac:dyDescent="0.3">
      <c r="A3" s="10" t="s">
        <v>71</v>
      </c>
      <c r="B3" s="80"/>
      <c r="D3" s="15" t="s">
        <v>14</v>
      </c>
      <c r="E3" s="16">
        <v>11925</v>
      </c>
      <c r="F3" s="17">
        <v>23850</v>
      </c>
      <c r="G3" s="63" t="str">
        <f t="shared" ref="G3:G6" si="0">IF($B$2=$F$2, F3, IF($B$2=$E$2, E3, ""))</f>
        <v/>
      </c>
    </row>
    <row r="4" spans="1:11" s="11" customFormat="1" ht="15.6" x14ac:dyDescent="0.3">
      <c r="A4" s="10" t="s">
        <v>60</v>
      </c>
      <c r="B4" s="81"/>
      <c r="D4" s="15" t="s">
        <v>15</v>
      </c>
      <c r="E4" s="16">
        <v>48475</v>
      </c>
      <c r="F4" s="17">
        <v>96950</v>
      </c>
      <c r="G4" s="63" t="str">
        <f t="shared" si="0"/>
        <v/>
      </c>
    </row>
    <row r="5" spans="1:11" s="11" customFormat="1" ht="15.6" x14ac:dyDescent="0.3">
      <c r="A5" s="10" t="str">
        <f>IF(B2=F2, "Age of Client 2 (required)",  "")</f>
        <v/>
      </c>
      <c r="B5" s="82"/>
      <c r="D5" s="15" t="s">
        <v>16</v>
      </c>
      <c r="E5" s="16">
        <v>103350</v>
      </c>
      <c r="F5" s="17">
        <v>206700</v>
      </c>
      <c r="G5" s="63" t="str">
        <f t="shared" si="0"/>
        <v/>
      </c>
    </row>
    <row r="6" spans="1:11" s="11" customFormat="1" ht="15.6" x14ac:dyDescent="0.3">
      <c r="A6" s="10" t="s">
        <v>69</v>
      </c>
      <c r="B6" s="80"/>
      <c r="D6" s="15" t="s">
        <v>79</v>
      </c>
      <c r="E6" s="16">
        <v>197300</v>
      </c>
      <c r="F6" s="17">
        <v>394600</v>
      </c>
      <c r="G6" s="63" t="str">
        <f t="shared" si="0"/>
        <v/>
      </c>
    </row>
    <row r="7" spans="1:11" s="11" customFormat="1" ht="15.6" x14ac:dyDescent="0.3">
      <c r="A7" s="8" t="s">
        <v>42</v>
      </c>
      <c r="D7" s="15" t="s">
        <v>18</v>
      </c>
      <c r="E7" s="16">
        <v>106000</v>
      </c>
      <c r="F7" s="17">
        <v>212000</v>
      </c>
      <c r="G7" s="63" t="str">
        <f>IF($B$2=$F$2, F7, IF($B$2=$E$2, E7, ""))</f>
        <v/>
      </c>
    </row>
    <row r="8" spans="1:11" s="11" customFormat="1" ht="15.6" x14ac:dyDescent="0.3">
      <c r="A8" s="11" t="s">
        <v>40</v>
      </c>
      <c r="B8" s="18"/>
      <c r="C8" s="19"/>
      <c r="D8" s="15" t="s">
        <v>17</v>
      </c>
      <c r="E8" s="16">
        <v>25000</v>
      </c>
      <c r="F8" s="17">
        <v>32000</v>
      </c>
      <c r="G8" s="63" t="str">
        <f>IF($B$2=$F$2, F8, IF($B$2=$E$2, E8, ""))</f>
        <v/>
      </c>
    </row>
    <row r="9" spans="1:11" s="11" customFormat="1" ht="15.6" x14ac:dyDescent="0.3">
      <c r="A9" s="11" t="s">
        <v>81</v>
      </c>
      <c r="B9" s="18"/>
      <c r="D9" s="15" t="s">
        <v>70</v>
      </c>
      <c r="E9" s="16">
        <v>34000</v>
      </c>
      <c r="F9" s="17">
        <v>44000</v>
      </c>
      <c r="G9" s="63" t="str">
        <f>IF($B$2=$F$2, F9, IF($B$2=$E$2, E9, ""))</f>
        <v/>
      </c>
    </row>
    <row r="10" spans="1:11" s="11" customFormat="1" ht="15.6" x14ac:dyDescent="0.3">
      <c r="A10" s="11" t="s">
        <v>8</v>
      </c>
      <c r="B10" s="18"/>
      <c r="D10" s="20" t="s">
        <v>37</v>
      </c>
      <c r="E10" s="16">
        <v>197300</v>
      </c>
      <c r="F10" s="17">
        <v>394600</v>
      </c>
      <c r="G10" s="63" t="str">
        <f>IF($B$2=$F$2, F10, IF($B$2=$E$2, E10, ""))</f>
        <v/>
      </c>
    </row>
    <row r="11" spans="1:11" s="11" customFormat="1" ht="15.6" x14ac:dyDescent="0.3">
      <c r="A11" s="11" t="s">
        <v>39</v>
      </c>
      <c r="B11" s="18"/>
      <c r="D11" s="15" t="s">
        <v>6</v>
      </c>
      <c r="E11" s="16">
        <v>15750</v>
      </c>
      <c r="F11" s="17">
        <v>31500</v>
      </c>
      <c r="G11" s="63">
        <f>IF($B$2=$F$2, F11, IF($B$2=$E$2, E11, 0))</f>
        <v>0</v>
      </c>
      <c r="H11" s="21" t="s">
        <v>19</v>
      </c>
      <c r="I11" s="22" t="str">
        <f>IF(B4=H12, "", IF(B4=H13, "", IF(B4="", "", IF(B2=E2, E12, IF(B4=H11, F12)))))</f>
        <v/>
      </c>
      <c r="J11" s="22">
        <f>IF(B2=E2, "", IF(B5=H11, F12, 0))</f>
        <v>0</v>
      </c>
      <c r="K11" s="75" t="s">
        <v>72</v>
      </c>
    </row>
    <row r="12" spans="1:11" s="11" customFormat="1" ht="15.6" x14ac:dyDescent="0.3">
      <c r="A12" s="11" t="s">
        <v>38</v>
      </c>
      <c r="B12" s="18"/>
      <c r="D12" s="15" t="s">
        <v>20</v>
      </c>
      <c r="E12" s="57">
        <v>2000</v>
      </c>
      <c r="F12" s="58">
        <v>1600</v>
      </c>
      <c r="G12" s="63">
        <f>IF(B4="", 0, SUM(I11:J11))</f>
        <v>0</v>
      </c>
      <c r="H12" s="24" t="s">
        <v>61</v>
      </c>
      <c r="I12" s="25" t="str">
        <f>IF(B4=H12, "X", "")</f>
        <v/>
      </c>
      <c r="K12" s="76" t="s">
        <v>73</v>
      </c>
    </row>
    <row r="13" spans="1:11" s="11" customFormat="1" ht="15.6" x14ac:dyDescent="0.3">
      <c r="A13" s="11" t="s">
        <v>41</v>
      </c>
      <c r="B13" s="18"/>
      <c r="D13" s="15" t="s">
        <v>85</v>
      </c>
      <c r="E13" s="57">
        <v>6000</v>
      </c>
      <c r="F13" s="58">
        <v>12000</v>
      </c>
      <c r="G13" s="63">
        <f>IF(B4="", 0, SUM(I16:J16))</f>
        <v>0</v>
      </c>
      <c r="H13" s="24" t="s">
        <v>54</v>
      </c>
      <c r="I13" s="25" t="str">
        <f>IF(B4=H13, "X", "")</f>
        <v/>
      </c>
      <c r="J13" s="25" t="str">
        <f>IF(B2=E2, "", IF(B5=H12, "X", ""))</f>
        <v/>
      </c>
      <c r="K13" s="76" t="s">
        <v>74</v>
      </c>
    </row>
    <row r="14" spans="1:11" s="11" customFormat="1" ht="15.6" x14ac:dyDescent="0.3">
      <c r="A14" s="11" t="s">
        <v>34</v>
      </c>
      <c r="B14" s="18"/>
      <c r="D14" s="15" t="s">
        <v>83</v>
      </c>
      <c r="E14" s="57">
        <v>100000</v>
      </c>
      <c r="F14" s="58">
        <v>200000</v>
      </c>
      <c r="G14" s="63" t="str">
        <f>IF(B3&lt;&gt;K11, "", IF(B2=E2,E14,IF(B2=F2,F14,"")))</f>
        <v/>
      </c>
      <c r="H14" s="77" t="s">
        <v>56</v>
      </c>
      <c r="I14" s="25"/>
      <c r="J14" s="25" t="str">
        <f t="shared" ref="J14:J15" si="1">IF(B3=E3, "", IF(B6=H13, "X", ""))</f>
        <v/>
      </c>
      <c r="K14" s="76" t="s">
        <v>75</v>
      </c>
    </row>
    <row r="15" spans="1:11" s="11" customFormat="1" ht="15.6" x14ac:dyDescent="0.3">
      <c r="A15" s="11" t="s">
        <v>35</v>
      </c>
      <c r="B15" s="18"/>
      <c r="D15" s="60" t="s">
        <v>62</v>
      </c>
      <c r="E15" s="59"/>
      <c r="F15" s="61"/>
      <c r="G15" s="63" t="str">
        <f t="shared" ref="G15:G21" si="2">IF($B$2="", "", IF($B$18&gt;F16,"",IF($B$2=$F$2,F16-$B$18,IF($B$2=$E$2,IF($B$18&gt;E16,"",E16-$B$18)))))</f>
        <v/>
      </c>
      <c r="H15" s="77" t="s">
        <v>57</v>
      </c>
      <c r="I15" s="34"/>
      <c r="J15" s="25" t="str">
        <f t="shared" si="1"/>
        <v/>
      </c>
      <c r="K15" s="76" t="s">
        <v>76</v>
      </c>
    </row>
    <row r="16" spans="1:11" s="11" customFormat="1" ht="15.6" x14ac:dyDescent="0.3">
      <c r="A16" s="11" t="s">
        <v>89</v>
      </c>
      <c r="B16" s="18"/>
      <c r="D16" s="62" t="s">
        <v>63</v>
      </c>
      <c r="E16" s="57">
        <v>14580</v>
      </c>
      <c r="F16" s="58">
        <v>19720</v>
      </c>
      <c r="G16" s="63" t="str">
        <f t="shared" si="2"/>
        <v/>
      </c>
      <c r="H16" s="74" t="s">
        <v>86</v>
      </c>
      <c r="I16" s="79" t="str">
        <f>IF(I11="", "", IF(B19&lt;G23, E13, IF(B19&gt;G24, 1, E13*(1-I18))))</f>
        <v/>
      </c>
      <c r="J16" s="79" t="str">
        <f>IF(J11=0, "", IF(J11="", "", IF(B19&lt;G23, E13, IF(B19&gt;G24, 1, E13*(1-I18)))))</f>
        <v/>
      </c>
      <c r="K16" s="76" t="s">
        <v>77</v>
      </c>
    </row>
    <row r="17" spans="1:11" s="11" customFormat="1" ht="15.6" x14ac:dyDescent="0.3">
      <c r="A17" s="11" t="s">
        <v>21</v>
      </c>
      <c r="B17" s="18"/>
      <c r="C17" s="32"/>
      <c r="D17" s="15" t="s">
        <v>64</v>
      </c>
      <c r="E17" s="72">
        <f>E16*1.38</f>
        <v>20120.399999999998</v>
      </c>
      <c r="F17" s="73">
        <f>F16*1.38</f>
        <v>27213.599999999999</v>
      </c>
      <c r="G17" s="63" t="str">
        <f t="shared" si="2"/>
        <v/>
      </c>
      <c r="H17" s="26"/>
      <c r="I17" s="29"/>
      <c r="J17" s="29"/>
      <c r="K17" s="78" t="s">
        <v>78</v>
      </c>
    </row>
    <row r="18" spans="1:11" s="11" customFormat="1" ht="16.2" thickBot="1" x14ac:dyDescent="0.35">
      <c r="A18" s="30" t="s">
        <v>44</v>
      </c>
      <c r="B18" s="31">
        <f>+SUM(B8:B17)-B9*2</f>
        <v>0</v>
      </c>
      <c r="C18" s="32"/>
      <c r="D18" s="15" t="s">
        <v>65</v>
      </c>
      <c r="E18" s="72">
        <f>E16*1.5</f>
        <v>21870</v>
      </c>
      <c r="F18" s="73">
        <f>F16*1.5</f>
        <v>29580</v>
      </c>
      <c r="G18" s="63" t="str">
        <f t="shared" si="2"/>
        <v/>
      </c>
      <c r="H18" s="11" t="s">
        <v>87</v>
      </c>
      <c r="I18" s="51" t="str">
        <f>IF(I11="", "", IF(B19&lt;G23, 0, IF(B19&gt;G24, 1, (B19-G23)/100000)))</f>
        <v/>
      </c>
      <c r="J18" s="51"/>
    </row>
    <row r="19" spans="1:11" s="11" customFormat="1" ht="15.6" x14ac:dyDescent="0.3">
      <c r="A19" s="34" t="s">
        <v>45</v>
      </c>
      <c r="B19" s="35">
        <f>(B12*0.85)+SUM(B8:B17)-B12-B9*2</f>
        <v>0</v>
      </c>
      <c r="C19" s="32"/>
      <c r="D19" s="15" t="s">
        <v>66</v>
      </c>
      <c r="E19" s="72">
        <f>E16*2</f>
        <v>29160</v>
      </c>
      <c r="F19" s="73">
        <f>F16*2</f>
        <v>39440</v>
      </c>
      <c r="G19" s="63" t="str">
        <f t="shared" si="2"/>
        <v/>
      </c>
    </row>
    <row r="20" spans="1:11" s="11" customFormat="1" ht="15.6" x14ac:dyDescent="0.3">
      <c r="A20" s="11" t="s">
        <v>6</v>
      </c>
      <c r="B20" s="36">
        <f>G11</f>
        <v>0</v>
      </c>
      <c r="C20" s="32"/>
      <c r="D20" s="15" t="s">
        <v>82</v>
      </c>
      <c r="E20" s="72">
        <f>E16*2.5</f>
        <v>36450</v>
      </c>
      <c r="F20" s="73">
        <f>F16*2.5</f>
        <v>49300</v>
      </c>
      <c r="G20" s="63" t="str">
        <f t="shared" si="2"/>
        <v/>
      </c>
    </row>
    <row r="21" spans="1:11" s="11" customFormat="1" ht="15.6" x14ac:dyDescent="0.3">
      <c r="A21" s="11" t="s">
        <v>88</v>
      </c>
      <c r="B21" s="88"/>
      <c r="D21" s="15" t="s">
        <v>67</v>
      </c>
      <c r="E21" s="72">
        <f>E16*3</f>
        <v>43740</v>
      </c>
      <c r="F21" s="73">
        <f>F16*3</f>
        <v>59160</v>
      </c>
      <c r="G21" s="63" t="str">
        <f t="shared" si="2"/>
        <v/>
      </c>
    </row>
    <row r="22" spans="1:11" s="11" customFormat="1" ht="16.2" thickBot="1" x14ac:dyDescent="0.35">
      <c r="A22" s="11" t="s">
        <v>36</v>
      </c>
      <c r="B22" s="36">
        <f>IF(B18=0, 0, IF(B18-B20-B23&lt;G10, 0.2*SUM(B14:B15), 0))</f>
        <v>0</v>
      </c>
      <c r="C22" s="37"/>
      <c r="D22" s="15" t="s">
        <v>68</v>
      </c>
      <c r="E22" s="72">
        <f>E16*4</f>
        <v>58320</v>
      </c>
      <c r="F22" s="73">
        <f>F16*4</f>
        <v>78880</v>
      </c>
      <c r="G22" s="63"/>
    </row>
    <row r="23" spans="1:11" s="11" customFormat="1" ht="15.6" x14ac:dyDescent="0.3">
      <c r="A23" s="11" t="s">
        <v>5</v>
      </c>
      <c r="B23" s="36">
        <f>G12</f>
        <v>0</v>
      </c>
      <c r="C23" s="37"/>
      <c r="D23" s="83" t="s">
        <v>90</v>
      </c>
      <c r="E23" s="84">
        <v>75000</v>
      </c>
      <c r="F23" s="85">
        <v>150000</v>
      </c>
      <c r="G23" s="63" t="str">
        <f>IF(B2=E2, E23, IF(B2=F2, F23, ""))</f>
        <v/>
      </c>
    </row>
    <row r="24" spans="1:11" s="11" customFormat="1" ht="16.2" thickBot="1" x14ac:dyDescent="0.35">
      <c r="A24" s="11" t="s">
        <v>84</v>
      </c>
      <c r="B24" s="36">
        <f>G13</f>
        <v>0</v>
      </c>
      <c r="C24" s="37"/>
      <c r="D24" s="23" t="s">
        <v>91</v>
      </c>
      <c r="E24" s="86">
        <v>175000</v>
      </c>
      <c r="F24" s="87">
        <v>250000</v>
      </c>
      <c r="G24" s="63" t="str">
        <f>IF(B2=E2, E24, IF(B2=F2, F24, ""))</f>
        <v/>
      </c>
    </row>
    <row r="25" spans="1:11" s="11" customFormat="1" ht="16.2" thickBot="1" x14ac:dyDescent="0.35">
      <c r="A25" s="30" t="s">
        <v>27</v>
      </c>
      <c r="B25" s="31">
        <f>B19-SUM(B20:B24)</f>
        <v>0</v>
      </c>
      <c r="C25" s="32"/>
      <c r="G25" s="63"/>
    </row>
    <row r="26" spans="1:11" s="11" customFormat="1" ht="6.6" customHeight="1" x14ac:dyDescent="0.3">
      <c r="A26" s="33"/>
      <c r="B26" s="38"/>
      <c r="C26" s="32"/>
      <c r="G26" s="63"/>
    </row>
    <row r="27" spans="1:11" s="11" customFormat="1" ht="15.6" x14ac:dyDescent="0.3">
      <c r="A27" s="11" t="s">
        <v>55</v>
      </c>
      <c r="B27" s="36" t="str">
        <f>IF(B25&lt;0, ABS(B25), "")</f>
        <v/>
      </c>
      <c r="C27" s="32"/>
      <c r="G27" s="63"/>
    </row>
    <row r="28" spans="1:11" s="11" customFormat="1" ht="15.6" x14ac:dyDescent="0.3">
      <c r="A28" s="11" t="s">
        <v>24</v>
      </c>
      <c r="B28" s="36" t="str">
        <f>IF($B$2="", "", IF($B$25&gt;G3, "", G3-$B$25))</f>
        <v/>
      </c>
      <c r="C28" s="37"/>
      <c r="D28" s="11" t="s">
        <v>51</v>
      </c>
      <c r="E28" s="27">
        <v>0</v>
      </c>
      <c r="G28" s="63"/>
    </row>
    <row r="29" spans="1:11" s="11" customFormat="1" ht="15.6" x14ac:dyDescent="0.3">
      <c r="A29" s="11" t="s">
        <v>25</v>
      </c>
      <c r="B29" s="36" t="str">
        <f>IF($B$2="", "", IF($B$25&gt;G4, "", G4-$B$25))</f>
        <v/>
      </c>
      <c r="C29" s="37"/>
      <c r="G29" s="63"/>
    </row>
    <row r="30" spans="1:11" s="11" customFormat="1" ht="15.6" x14ac:dyDescent="0.3">
      <c r="A30" s="11" t="s">
        <v>94</v>
      </c>
      <c r="B30" s="36" t="str">
        <f>IF($B$2="", "", IF($B$4=$H$12,"",IF($B$4=$H$13,"", IF($B$18&gt;G23, "", G23-$B$18))))</f>
        <v/>
      </c>
      <c r="D30" s="11" t="s">
        <v>52</v>
      </c>
      <c r="E30" s="28">
        <v>2029</v>
      </c>
      <c r="G30" s="63"/>
    </row>
    <row r="31" spans="1:11" s="11" customFormat="1" ht="15.6" x14ac:dyDescent="0.3">
      <c r="A31" s="11" t="s">
        <v>26</v>
      </c>
      <c r="B31" s="36" t="str">
        <f>IF($B$2="", "", IF($B$25&gt;G5, "", G5-$B$25))</f>
        <v/>
      </c>
      <c r="G31" s="63"/>
    </row>
    <row r="32" spans="1:11" s="11" customFormat="1" ht="15.6" x14ac:dyDescent="0.3">
      <c r="A32" s="11" t="s">
        <v>80</v>
      </c>
      <c r="B32" s="36" t="str">
        <f>IF($B$2="", "", IF($B$25&gt;G6, "", G6-$B$25))</f>
        <v/>
      </c>
      <c r="D32" s="11" t="s">
        <v>92</v>
      </c>
      <c r="E32" s="27">
        <v>0.04</v>
      </c>
      <c r="G32" s="63"/>
    </row>
    <row r="33" spans="1:7" s="11" customFormat="1" ht="15.6" x14ac:dyDescent="0.3">
      <c r="A33" s="11" t="s">
        <v>33</v>
      </c>
      <c r="B33" s="14" t="str">
        <f>IF(B2="", "", IF(B4=H13, "", IF(B18&gt;G7*(1+E32), "", G7*(1+E32)-B18)))</f>
        <v/>
      </c>
      <c r="G33" s="63"/>
    </row>
    <row r="34" spans="1:7" s="11" customFormat="1" ht="15.6" x14ac:dyDescent="0.3">
      <c r="A34" s="11" t="s">
        <v>93</v>
      </c>
      <c r="B34" s="14" t="str">
        <f>IF($B$2="", "", IF($B$4=$H$12,"",IF($B$4=$H$13,"", IF($B$18&gt;G24, "", G24-$B$18))))</f>
        <v/>
      </c>
      <c r="G34" s="63"/>
    </row>
    <row r="35" spans="1:7" s="11" customFormat="1" ht="15.6" x14ac:dyDescent="0.3">
      <c r="A35" s="11" t="s">
        <v>95</v>
      </c>
      <c r="B35" s="14" t="str">
        <f>IF(G14="", "", IF(B4=H12, "", IF(B4=H13, "", IF(B19&gt;G14, "", G14-B19))))</f>
        <v/>
      </c>
      <c r="G35" s="63"/>
    </row>
    <row r="36" spans="1:7" ht="16.2" thickBot="1" x14ac:dyDescent="0.35">
      <c r="A36" s="11" t="s">
        <v>22</v>
      </c>
      <c r="B36" s="36" t="str">
        <f>IF(B2="","",IF(B12="","",IF(B44&gt;=G8,"",G8-B44)))</f>
        <v/>
      </c>
      <c r="C36" s="11"/>
      <c r="D36" s="11"/>
      <c r="E36" s="11"/>
      <c r="F36" s="11"/>
    </row>
    <row r="37" spans="1:7" s="11" customFormat="1" ht="16.2" thickBot="1" x14ac:dyDescent="0.35">
      <c r="A37" s="11" t="s">
        <v>23</v>
      </c>
      <c r="B37" s="36" t="str">
        <f>IF(B2="", "", IF(B12="", "", IF(B44&gt;G9, "",G9- B44)))</f>
        <v/>
      </c>
      <c r="C37" s="71" t="str">
        <f>IF(MIN(B27:B37)&lt;B38, "OR", "")</f>
        <v/>
      </c>
      <c r="D37" s="41" t="str">
        <f>IF(C37="", "", IF(G12&gt;1, ROUNDDOWN(MIN(B26:B37), -2.5), ROUNDDOWN(MIN(B27:B37,G15:G20), -2.5)))</f>
        <v/>
      </c>
      <c r="G37" s="63"/>
    </row>
    <row r="38" spans="1:7" s="11" customFormat="1" ht="16.2" thickBot="1" x14ac:dyDescent="0.35">
      <c r="A38" s="39" t="s">
        <v>32</v>
      </c>
      <c r="B38" s="40">
        <f>IF($B$6=$H$14,ROUNDDOWN(MIN(G15:G20), -2.5),IF(B12=0,ROUNDDOWN(MIN(B28:B33),-2.5),IF(E53="No",ROUNDDOWN(B36,-2.5),IF(B53="No",ROUNDDOWN(B37,-2.5),ROUNDDOWN(MIN(B29:B33),-2.5)))))</f>
        <v>0</v>
      </c>
      <c r="C38" s="4"/>
      <c r="D38" s="42" t="str">
        <f>IF(D37="", "", "If no savings/investment account")</f>
        <v/>
      </c>
      <c r="G38" s="63"/>
    </row>
    <row r="39" spans="1:7" s="11" customFormat="1" ht="16.2" thickBot="1" x14ac:dyDescent="0.35">
      <c r="B39" s="14"/>
      <c r="C39" s="43"/>
      <c r="D39" s="9" t="str">
        <f>IF(D38="", "", "to pay the conversion tax.")</f>
        <v/>
      </c>
      <c r="E39"/>
      <c r="F39"/>
      <c r="G39" s="63"/>
    </row>
    <row r="40" spans="1:7" s="11" customFormat="1" ht="18" x14ac:dyDescent="0.35">
      <c r="A40" s="2" t="s">
        <v>1</v>
      </c>
      <c r="B40" s="3"/>
      <c r="C40" s="32"/>
      <c r="E40" s="68" t="str">
        <f>IF(B38=0, "", "FED")</f>
        <v/>
      </c>
      <c r="F40" s="68" t="str">
        <f>IF(B38=0, "", "STATE")</f>
        <v/>
      </c>
      <c r="G40" s="63"/>
    </row>
    <row r="41" spans="1:7" s="11" customFormat="1" ht="15.6" x14ac:dyDescent="0.3">
      <c r="A41" s="11" t="s">
        <v>0</v>
      </c>
      <c r="B41" s="36" t="str">
        <f>IF(B12="", "", IF(B12=0, "", B12))</f>
        <v/>
      </c>
      <c r="C41" s="32"/>
      <c r="D41" s="10" t="str">
        <f>IF(B38=0, "", "Estimated Tax Due by 1/15/25:")</f>
        <v/>
      </c>
      <c r="E41" s="44" t="str">
        <f>IF(B38=0,"",IF(B25+B38&lt;=G3,0.1*B38,IF(B38+B25&lt;=G4,0.12*B38,IF(B25+B38&lt;=G5,0.22*B38,"Don't convert"))))</f>
        <v/>
      </c>
      <c r="F41" s="69" t="str">
        <f>IF(B38=0,"", IF(B3="", "???", IF(B3=K11, 0.09*B38, IF(B3=K12, 0.025*B38, IF(B3=K13, 0, IF(B3=K14, 0.08*B38, IF(B3=K15, 0, IF(B3=K16, 0.044*B38, IF(B3=K17, "Calculate")))))))))</f>
        <v/>
      </c>
      <c r="G41" s="63"/>
    </row>
    <row r="42" spans="1:7" s="11" customFormat="1" ht="15.6" x14ac:dyDescent="0.3">
      <c r="A42" s="11" t="s">
        <v>4</v>
      </c>
      <c r="B42" s="36" t="str">
        <f>B48</f>
        <v/>
      </c>
      <c r="C42" s="32"/>
      <c r="D42" s="45" t="str">
        <f>IF(D37="", "", "Estimated Tax Due on Alt:")</f>
        <v/>
      </c>
      <c r="E42" s="46" t="str">
        <f>IF(D37="","",IF(B25+D37&lt;=0,0,IF(B25+D37&lt;G3,0.1*D37,IF(D37+B25&lt;G4,0.12*D37,IF(B25+D37&lt;G5,0.22*D37)))))</f>
        <v/>
      </c>
      <c r="F42" s="70" t="str">
        <f>IF(B38=0,"", IF(D37="", "", IF(B3="", "???", IF(B3=K11, 0.09*D37, IF(B3=K12, 0.025*D37, IF(B3=K13, 0, IF(B3=K14, 0.08*D37, IF(B3=K15, 0, IF(B3=K16, 0.044*D37, IF(B3=K17, "Calculate"))))))))))</f>
        <v/>
      </c>
      <c r="G42" s="63"/>
    </row>
    <row r="43" spans="1:7" s="11" customFormat="1" ht="15.6" x14ac:dyDescent="0.3">
      <c r="A43" s="11" t="s">
        <v>43</v>
      </c>
      <c r="B43" s="36" t="str">
        <f>IF(B12="", "", B8+B10+B11+SUM(B13:B17))</f>
        <v/>
      </c>
      <c r="G43" s="63"/>
    </row>
    <row r="44" spans="1:7" s="11" customFormat="1" ht="16.2" thickBot="1" x14ac:dyDescent="0.35">
      <c r="A44" s="30" t="s">
        <v>2</v>
      </c>
      <c r="B44" s="31" t="str">
        <f>IF(B41="", "", B42+B43)</f>
        <v/>
      </c>
      <c r="C44" s="33"/>
      <c r="G44" s="63"/>
    </row>
    <row r="45" spans="1:7" s="11" customFormat="1" ht="15.6" x14ac:dyDescent="0.3">
      <c r="G45" s="63"/>
    </row>
    <row r="46" spans="1:7" s="11" customFormat="1" ht="15.6" x14ac:dyDescent="0.3">
      <c r="A46" s="47" t="s">
        <v>31</v>
      </c>
      <c r="B46" s="48"/>
      <c r="D46" s="47" t="s">
        <v>46</v>
      </c>
      <c r="E46" s="47"/>
      <c r="F46" s="47"/>
      <c r="G46" s="63"/>
    </row>
    <row r="47" spans="1:7" s="11" customFormat="1" ht="15.6" x14ac:dyDescent="0.3">
      <c r="A47" s="11" t="s">
        <v>3</v>
      </c>
      <c r="B47" s="49" t="str">
        <f>IF(B41="", "", (0.85*B12))</f>
        <v/>
      </c>
      <c r="D47" s="11" t="s">
        <v>47</v>
      </c>
      <c r="E47" s="14" t="str">
        <f>IF(B12="","",IF(SUM(B36:B37)=0,"",IF(B36="", 0, IF(B53="Yes", B29-B36, B37-B36))))</f>
        <v/>
      </c>
      <c r="G47" s="63"/>
    </row>
    <row r="48" spans="1:7" s="11" customFormat="1" ht="15.6" x14ac:dyDescent="0.3">
      <c r="A48" s="11" t="s">
        <v>4</v>
      </c>
      <c r="B48" s="49" t="str">
        <f>IF(B41="", "", (0.5*B12))</f>
        <v/>
      </c>
      <c r="D48" s="11" t="s">
        <v>53</v>
      </c>
      <c r="E48" s="14" t="str">
        <f>IF(B12="", "", IF(E47=0, "", IF(E47="", "", 0.12*B48)))</f>
        <v/>
      </c>
      <c r="G48" s="63"/>
    </row>
    <row r="49" spans="1:6" ht="15.6" x14ac:dyDescent="0.3">
      <c r="A49" s="11" t="s">
        <v>9</v>
      </c>
      <c r="B49" s="50" t="str">
        <f>IF(B41="", "", SUM(B47-B48))</f>
        <v/>
      </c>
      <c r="C49" s="11"/>
      <c r="D49" s="11" t="s">
        <v>48</v>
      </c>
      <c r="E49" s="51" t="str">
        <f>IF(B12="", "", IF(E47=0, "", IF(E47="", "", IF(B53="Yes", E48/(B29-B36), IF(B53="No", E48/E47)))))</f>
        <v/>
      </c>
      <c r="F49" s="11"/>
    </row>
    <row r="50" spans="1:6" ht="15.6" x14ac:dyDescent="0.3">
      <c r="A50" s="11" t="s">
        <v>10</v>
      </c>
      <c r="B50" s="50" t="str">
        <f>IF(B41="", "", SUM(0.12*B49))</f>
        <v/>
      </c>
      <c r="D50" s="11" t="s">
        <v>49</v>
      </c>
      <c r="E50" s="52" t="str">
        <f>IF(B2="", "", IF(B12="", "",IF(E47=0, "", IF(E47="", "", E28-E49))))</f>
        <v/>
      </c>
      <c r="F50" s="11"/>
    </row>
    <row r="51" spans="1:6" ht="15.6" x14ac:dyDescent="0.3">
      <c r="A51" s="11" t="s">
        <v>11</v>
      </c>
      <c r="B51" s="53" t="str">
        <f>IF(B2="", "", IF(B44&gt;G9, "", IF(B25&gt;G4, 0, B50/B29)))</f>
        <v/>
      </c>
      <c r="D51" s="11"/>
      <c r="E51" s="11"/>
      <c r="F51" s="11"/>
    </row>
    <row r="52" spans="1:6" ht="15.6" x14ac:dyDescent="0.3">
      <c r="A52" s="11" t="s">
        <v>50</v>
      </c>
      <c r="B52" s="54" t="str">
        <f>IF(B51="", "", E28-B51)</f>
        <v/>
      </c>
      <c r="D52" s="1" t="str">
        <f>IF(E53="", "", "Worth it to Pay tax on 50% of SS?")</f>
        <v/>
      </c>
      <c r="E52" s="11"/>
      <c r="F52" s="11"/>
    </row>
    <row r="53" spans="1:6" x14ac:dyDescent="0.3">
      <c r="A53" s="5" t="str">
        <f>IF(B53="", "", "Worth it to do Top of 12% Bracket instead of Top of 50% SS tax level:")</f>
        <v/>
      </c>
      <c r="B53" s="6" t="str">
        <f>IF(SUM(B36:B37)=0, "", IF(B52&lt;0, "No", "Yes"))</f>
        <v/>
      </c>
      <c r="E53" s="7" t="str">
        <f>IF(B12="", "", IF(E50="", "", IF(E50&lt;0,"No",IF(E50&gt;0,"Yes",""))))</f>
        <v/>
      </c>
    </row>
  </sheetData>
  <sheetProtection algorithmName="SHA-512" hashValue="FIwycqfusr+rG/XwL1wpP0h530Fvu+aJtNsKeINwqXu/bnPT//4HVa2zN/HW6GGZ8S4rsB51SLJMqeg1InwTwQ==" saltValue="gm1luCPm/YwfTworzfgh4Q==" spinCount="100000" sheet="1" objects="1" scenarios="1"/>
  <dataValidations xWindow="670" yWindow="461" count="10">
    <dataValidation type="list" allowBlank="1" showInputMessage="1" showErrorMessage="1" sqref="B2">
      <formula1>$D$2:$F$2</formula1>
    </dataValidation>
    <dataValidation type="list" allowBlank="1" showInputMessage="1" showErrorMessage="1" sqref="B3">
      <formula1>$K$11:$K$17</formula1>
    </dataValidation>
    <dataValidation type="list" allowBlank="1" showInputMessage="1" showErrorMessage="1" sqref="B6">
      <formula1>$H$14:$H$15</formula1>
    </dataValidation>
    <dataValidation type="list" allowBlank="1" showInputMessage="1" showErrorMessage="1" sqref="B4:B5">
      <formula1>$H$10:$H$13</formula1>
    </dataValidation>
    <dataValidation type="decimal" allowBlank="1" showInputMessage="1" showErrorMessage="1" sqref="B21">
      <formula1>0</formula1>
      <formula2>2000</formula2>
    </dataValidation>
    <dataValidation type="decimal" allowBlank="1" showInputMessage="1" showErrorMessage="1" sqref="B8 B10:B12 B17 B14:B15">
      <formula1>0</formula1>
      <formula2>2000000</formula2>
    </dataValidation>
    <dataValidation type="decimal" allowBlank="1" showInputMessage="1" showErrorMessage="1" sqref="B9">
      <formula1>0</formula1>
      <formula2>79050</formula2>
    </dataValidation>
    <dataValidation type="decimal" allowBlank="1" showInputMessage="1" showErrorMessage="1" sqref="B16">
      <formula1>-1000000</formula1>
      <formula2>2000000</formula2>
    </dataValidation>
    <dataValidation type="decimal" allowBlank="1" showInputMessage="1" showErrorMessage="1" sqref="B13">
      <formula1>-3000</formula1>
      <formula2>2000000</formula2>
    </dataValidation>
    <dataValidation type="decimal" allowBlank="1" showInputMessage="1" showErrorMessage="1" sqref="E28 E32">
      <formula1>0</formula1>
      <formula2>1</formula2>
    </dataValidation>
  </dataValidations>
  <pageMargins left="0.7" right="0.7" top="1.31375" bottom="0.75" header="0.3" footer="0.3"/>
  <pageSetup scale="62" orientation="portrait" r:id="rId1"/>
  <headerFooter>
    <oddHeader>&amp;L
&amp;G&amp;C&amp;"-,Bold"&amp;28
Roth Conversion Calculator</oddHeader>
    <oddFooter>&amp;C&amp;D</oddFooter>
  </headerFooter>
  <colBreaks count="1" manualBreakCount="1">
    <brk id="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Roth Conversion</vt:lpstr>
      <vt:lpstr>'Roth Conversion'!Print_Area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Pereira</dc:creator>
  <cp:lastModifiedBy>Adam Sommers</cp:lastModifiedBy>
  <cp:lastPrinted>2025-09-02T16:46:16Z</cp:lastPrinted>
  <dcterms:created xsi:type="dcterms:W3CDTF">2020-11-02T22:43:40Z</dcterms:created>
  <dcterms:modified xsi:type="dcterms:W3CDTF">2025-09-02T16:47:20Z</dcterms:modified>
</cp:coreProperties>
</file>