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5033\Dropbox (SFM)\Sommers Financial Management\Shared\Client Files\"/>
    </mc:Choice>
  </mc:AlternateContent>
  <workbookProtection lockStructure="1"/>
  <bookViews>
    <workbookView xWindow="0" yWindow="0" windowWidth="23040" windowHeight="10644"/>
  </bookViews>
  <sheets>
    <sheet name="Roth Conversion" sheetId="1" r:id="rId1"/>
  </sheets>
  <definedNames>
    <definedName name="_xlnm.Print_Area" localSheetId="0">'Roth Conversion'!$A$1:$F$43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B32" i="1" l="1"/>
  <c r="B38" i="1" s="1"/>
  <c r="B34" i="1"/>
  <c r="B39" i="1" l="1"/>
  <c r="B40" i="1" s="1"/>
  <c r="B41" i="1" s="1"/>
  <c r="J12" i="1"/>
  <c r="I12" i="1"/>
  <c r="I10" i="1"/>
  <c r="B16" i="1" l="1"/>
  <c r="B15" i="1"/>
  <c r="G9" i="1"/>
  <c r="G3" i="1" l="1"/>
  <c r="G4" i="1"/>
  <c r="G5" i="1"/>
  <c r="B26" i="1" s="1"/>
  <c r="G6" i="1"/>
  <c r="G7" i="1"/>
  <c r="G8" i="1"/>
  <c r="B17" i="1"/>
  <c r="G2" i="1"/>
  <c r="J11" i="1"/>
  <c r="J10" i="1"/>
  <c r="G10" i="1" l="1"/>
  <c r="I11" i="1"/>
  <c r="B19" i="1" l="1"/>
  <c r="B33" i="1"/>
  <c r="B35" i="1" s="1"/>
  <c r="B18" i="1" l="1"/>
  <c r="B20" i="1" s="1"/>
  <c r="B22" i="1" s="1"/>
  <c r="B27" i="1"/>
  <c r="B28" i="1"/>
  <c r="B25" i="1" l="1"/>
  <c r="B24" i="1"/>
  <c r="B42" i="1" s="1"/>
  <c r="B43" i="1" s="1"/>
  <c r="B44" i="1" s="1"/>
  <c r="A44" i="1" s="1"/>
  <c r="B23" i="1"/>
  <c r="E38" i="1" l="1"/>
  <c r="E39" i="1" l="1"/>
  <c r="E40" i="1" s="1"/>
  <c r="E41" i="1" s="1"/>
  <c r="E44" i="1" s="1"/>
  <c r="B29" i="1" s="1"/>
  <c r="D44" i="1" l="1"/>
  <c r="E33" i="1" l="1"/>
  <c r="D33" i="1"/>
  <c r="C29" i="1"/>
  <c r="D29" i="1" s="1"/>
  <c r="D34" i="1" l="1"/>
  <c r="E34" i="1"/>
  <c r="D30" i="1"/>
  <c r="D31" i="1" s="1"/>
</calcChain>
</file>

<file path=xl/sharedStrings.xml><?xml version="1.0" encoding="utf-8"?>
<sst xmlns="http://schemas.openxmlformats.org/spreadsheetml/2006/main" count="68" uniqueCount="66">
  <si>
    <t>Annual amount of Social Security currently receiving</t>
  </si>
  <si>
    <t>Social Security Taxability Calculation</t>
  </si>
  <si>
    <t>Income according to SS Rules</t>
  </si>
  <si>
    <t xml:space="preserve">85% of Social Security </t>
  </si>
  <si>
    <t>50% of Social Security</t>
  </si>
  <si>
    <t>Elder Deduction</t>
  </si>
  <si>
    <t>Standard Deduction</t>
  </si>
  <si>
    <t>Single</t>
  </si>
  <si>
    <t>Dividends &amp; Interest on taxable accounts (to date &amp; future estimates)</t>
  </si>
  <si>
    <t>Difference between 85% and 50% of SS</t>
  </si>
  <si>
    <t>12% tax on the difference (35%)</t>
  </si>
  <si>
    <t>Percentage of extra tax</t>
  </si>
  <si>
    <t>Important Thresholds</t>
  </si>
  <si>
    <t>Married</t>
  </si>
  <si>
    <t>Taxable 10% Federal Tax Bracket:</t>
  </si>
  <si>
    <t>Taxable 12% Federal Tax Bracket:</t>
  </si>
  <si>
    <t>Taxable 22% Federal Tax Bracket:</t>
  </si>
  <si>
    <t>50% of Combined Income SS Taxed:</t>
  </si>
  <si>
    <t>85% of Combind Income SS Taxed:</t>
  </si>
  <si>
    <t>"Gross" Limit for Medicare Pt B:</t>
  </si>
  <si>
    <t>65 or Over</t>
  </si>
  <si>
    <t>Under 65</t>
  </si>
  <si>
    <t>Additional Deduction (over age 65)</t>
  </si>
  <si>
    <t>Other Income</t>
  </si>
  <si>
    <t>Able to Convert and have Social Security Not Taxed:</t>
  </si>
  <si>
    <t>Able to Convert and keep only 50% of Social Security Taxed:</t>
  </si>
  <si>
    <t>Able to Convert in the 10% Tax Bracket:</t>
  </si>
  <si>
    <t>Able to Convert in the 12% Tax Bracket:</t>
  </si>
  <si>
    <t>Able to Convert in the 22% Tax Bracket:</t>
  </si>
  <si>
    <t>Taxable Income before Conversion</t>
  </si>
  <si>
    <t>Client</t>
  </si>
  <si>
    <t>Client 1</t>
  </si>
  <si>
    <t>Client 2</t>
  </si>
  <si>
    <t>Additional tax on 35% of SS if converting to top of 12% Bracket</t>
  </si>
  <si>
    <t>RECOMMENDED CONVERSION AMOUNT:</t>
  </si>
  <si>
    <t>Able to Convert &amp; Remain Below Medicare Part B IRMAA:</t>
  </si>
  <si>
    <t>Net Rental Income</t>
  </si>
  <si>
    <t>Net Business Income</t>
  </si>
  <si>
    <t>QBI Deducution</t>
  </si>
  <si>
    <t>QBI "Taxable" Income Limits</t>
  </si>
  <si>
    <t>Annual Social Security Benefits (Gross)</t>
  </si>
  <si>
    <t>Annual Pension Income (Gross)</t>
  </si>
  <si>
    <t>Annual Wage/Salary Income (Gross)</t>
  </si>
  <si>
    <t>Estimated Realized Capital Gains/Losses on taxable accounts</t>
  </si>
  <si>
    <t>Income Estimates</t>
  </si>
  <si>
    <t>IRA Distributions</t>
  </si>
  <si>
    <t>Other Gross Income:</t>
  </si>
  <si>
    <t>Gross Income</t>
  </si>
  <si>
    <t>Gross Income (counting 85% of SS benefits)</t>
  </si>
  <si>
    <t>Additional Tax on 50% of SS if converting to 50% top</t>
  </si>
  <si>
    <t>Difference in Amount Converted:</t>
  </si>
  <si>
    <t>% of extra tax:</t>
  </si>
  <si>
    <t>How much savings?</t>
  </si>
  <si>
    <t>How much savings vs. rates rising?</t>
  </si>
  <si>
    <t>Expected Increase in Tax Rates:</t>
  </si>
  <si>
    <t>When do we expect tax increases?</t>
  </si>
  <si>
    <t>12% Tax on 50% of SS:</t>
  </si>
  <si>
    <t>Under 63</t>
  </si>
  <si>
    <t>Able to Convert in the 0% Tax Bracket:</t>
  </si>
  <si>
    <t>Do you receive an ACA health</t>
  </si>
  <si>
    <t xml:space="preserve">insurance subsidy? </t>
  </si>
  <si>
    <t>Yes</t>
  </si>
  <si>
    <t>No</t>
  </si>
  <si>
    <t>Client Name (required)</t>
  </si>
  <si>
    <t>Filing Status (required)</t>
  </si>
  <si>
    <t>Age of Client 1 (required)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</si>
</sst>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0_);\(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18" xfId="0" applyFont="1" applyBorder="1" applyAlignment="1">
      <alignment horizontal="left" indent="1"/>
    </xf>
    <xf numFmtId="0" fontId="7" fillId="0" borderId="0" xfId="0" applyFont="1"/>
    <xf numFmtId="0" fontId="8" fillId="5" borderId="1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8" fillId="0" borderId="4" xfId="0" applyFont="1" applyBorder="1"/>
    <xf numFmtId="0" fontId="9" fillId="0" borderId="0" xfId="0" applyFont="1" applyAlignment="1">
      <alignment horizontal="center"/>
    </xf>
    <xf numFmtId="0" fontId="8" fillId="0" borderId="5" xfId="0" applyFont="1" applyBorder="1"/>
    <xf numFmtId="165" fontId="9" fillId="0" borderId="0" xfId="0" applyNumberFormat="1" applyFont="1"/>
    <xf numFmtId="0" fontId="9" fillId="5" borderId="1" xfId="0" applyFont="1" applyFill="1" applyBorder="1" applyAlignment="1" applyProtection="1">
      <alignment horizontal="center"/>
      <protection locked="0"/>
    </xf>
    <xf numFmtId="0" fontId="9" fillId="0" borderId="5" xfId="0" applyFont="1" applyBorder="1"/>
    <xf numFmtId="165" fontId="9" fillId="4" borderId="1" xfId="1" applyNumberFormat="1" applyFont="1" applyFill="1" applyBorder="1"/>
    <xf numFmtId="165" fontId="9" fillId="4" borderId="7" xfId="1" applyNumberFormat="1" applyFont="1" applyFill="1" applyBorder="1"/>
    <xf numFmtId="0" fontId="9" fillId="2" borderId="1" xfId="0" applyFont="1" applyFill="1" applyBorder="1" applyAlignment="1" applyProtection="1">
      <alignment horizontal="center"/>
      <protection locked="0"/>
    </xf>
    <xf numFmtId="165" fontId="9" fillId="2" borderId="1" xfId="1" applyNumberFormat="1" applyFont="1" applyFill="1" applyBorder="1" applyProtection="1">
      <protection locked="0"/>
    </xf>
    <xf numFmtId="9" fontId="9" fillId="0" borderId="0" xfId="0" applyNumberFormat="1" applyFont="1"/>
    <xf numFmtId="0" fontId="9" fillId="0" borderId="5" xfId="0" applyFont="1" applyFill="1" applyBorder="1"/>
    <xf numFmtId="0" fontId="9" fillId="0" borderId="11" xfId="0" applyFont="1" applyBorder="1"/>
    <xf numFmtId="165" fontId="9" fillId="0" borderId="12" xfId="1" applyNumberFormat="1" applyFont="1" applyBorder="1" applyAlignment="1">
      <alignment horizontal="center"/>
    </xf>
    <xf numFmtId="165" fontId="9" fillId="0" borderId="13" xfId="1" applyNumberFormat="1" applyFont="1" applyBorder="1" applyAlignment="1">
      <alignment horizontal="center"/>
    </xf>
    <xf numFmtId="0" fontId="9" fillId="0" borderId="8" xfId="0" applyFont="1" applyBorder="1"/>
    <xf numFmtId="165" fontId="9" fillId="4" borderId="9" xfId="1" applyNumberFormat="1" applyFont="1" applyFill="1" applyBorder="1"/>
    <xf numFmtId="165" fontId="9" fillId="4" borderId="20" xfId="1" applyNumberFormat="1" applyFont="1" applyFill="1" applyBorder="1"/>
    <xf numFmtId="0" fontId="9" fillId="0" borderId="23" xfId="0" applyFont="1" applyBorder="1"/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4" xfId="0" applyFont="1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9" fontId="9" fillId="2" borderId="1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6" fontId="9" fillId="4" borderId="1" xfId="1" applyNumberFormat="1" applyFont="1" applyFill="1" applyBorder="1" applyAlignment="1">
      <alignment horizontal="center"/>
    </xf>
    <xf numFmtId="0" fontId="9" fillId="0" borderId="14" xfId="0" applyFont="1" applyFill="1" applyBorder="1"/>
    <xf numFmtId="0" fontId="9" fillId="0" borderId="15" xfId="0" applyFont="1" applyBorder="1"/>
    <xf numFmtId="0" fontId="9" fillId="0" borderId="16" xfId="0" applyFont="1" applyBorder="1"/>
    <xf numFmtId="0" fontId="8" fillId="0" borderId="19" xfId="0" applyFont="1" applyBorder="1"/>
    <xf numFmtId="165" fontId="8" fillId="0" borderId="19" xfId="1" applyNumberFormat="1" applyFont="1" applyFill="1" applyBorder="1"/>
    <xf numFmtId="0" fontId="9" fillId="0" borderId="0" xfId="0" applyFont="1" applyFill="1"/>
    <xf numFmtId="0" fontId="8" fillId="0" borderId="0" xfId="0" applyFont="1"/>
    <xf numFmtId="0" fontId="9" fillId="0" borderId="0" xfId="0" applyFont="1" applyBorder="1"/>
    <xf numFmtId="165" fontId="9" fillId="0" borderId="0" xfId="1" applyNumberFormat="1" applyFont="1" applyFill="1" applyBorder="1"/>
    <xf numFmtId="0" fontId="8" fillId="2" borderId="1" xfId="0" applyFont="1" applyFill="1" applyBorder="1" applyAlignment="1" applyProtection="1">
      <alignment horizontal="center"/>
      <protection locked="0"/>
    </xf>
    <xf numFmtId="165" fontId="9" fillId="0" borderId="0" xfId="1" applyNumberFormat="1" applyFont="1" applyFill="1"/>
    <xf numFmtId="0" fontId="8" fillId="0" borderId="0" xfId="0" applyFont="1" applyFill="1"/>
    <xf numFmtId="165" fontId="8" fillId="0" borderId="0" xfId="1" applyNumberFormat="1" applyFont="1" applyFill="1"/>
    <xf numFmtId="165" fontId="9" fillId="0" borderId="0" xfId="0" applyNumberFormat="1" applyFont="1" applyFill="1"/>
    <xf numFmtId="0" fontId="10" fillId="3" borderId="10" xfId="0" applyFont="1" applyFill="1" applyBorder="1"/>
    <xf numFmtId="165" fontId="10" fillId="3" borderId="21" xfId="1" applyNumberFormat="1" applyFont="1" applyFill="1" applyBorder="1"/>
    <xf numFmtId="0" fontId="8" fillId="0" borderId="0" xfId="0" applyFont="1" applyAlignment="1">
      <alignment horizontal="center"/>
    </xf>
    <xf numFmtId="5" fontId="11" fillId="0" borderId="22" xfId="1" applyNumberFormat="1" applyFont="1" applyBorder="1" applyAlignment="1">
      <alignment horizontal="left" indent="1"/>
    </xf>
    <xf numFmtId="0" fontId="12" fillId="0" borderId="17" xfId="0" applyFont="1" applyBorder="1" applyAlignment="1">
      <alignment horizontal="left" indent="1"/>
    </xf>
    <xf numFmtId="9" fontId="9" fillId="0" borderId="0" xfId="0" applyNumberFormat="1" applyFont="1" applyFill="1"/>
    <xf numFmtId="165" fontId="7" fillId="0" borderId="0" xfId="1" applyNumberFormat="1" applyFont="1"/>
    <xf numFmtId="0" fontId="11" fillId="0" borderId="0" xfId="0" applyFont="1"/>
    <xf numFmtId="165" fontId="11" fillId="0" borderId="0" xfId="1" applyNumberFormat="1" applyFont="1"/>
    <xf numFmtId="0" fontId="13" fillId="0" borderId="15" xfId="0" applyFont="1" applyBorder="1"/>
    <xf numFmtId="44" fontId="9" fillId="0" borderId="15" xfId="1" applyFont="1" applyBorder="1"/>
    <xf numFmtId="165" fontId="9" fillId="0" borderId="0" xfId="1" applyNumberFormat="1" applyFont="1" applyFill="1" applyAlignment="1">
      <alignment horizontal="center"/>
    </xf>
    <xf numFmtId="165" fontId="9" fillId="0" borderId="0" xfId="1" applyNumberFormat="1" applyFont="1" applyAlignment="1">
      <alignment horizontal="center"/>
    </xf>
    <xf numFmtId="164" fontId="9" fillId="0" borderId="0" xfId="2" applyNumberFormat="1" applyFont="1"/>
    <xf numFmtId="164" fontId="9" fillId="0" borderId="0" xfId="0" applyNumberFormat="1" applyFont="1"/>
    <xf numFmtId="164" fontId="9" fillId="0" borderId="0" xfId="2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4" fillId="0" borderId="2" xfId="0" applyFont="1" applyBorder="1"/>
    <xf numFmtId="0" fontId="14" fillId="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B1" sqref="B1"/>
    </sheetView>
  </sheetViews>
  <sheetFormatPr defaultRowHeight="14.4" x14ac:dyDescent="0.3"/>
  <cols>
    <col min="1" max="1" width="67.44140625" customWidth="1"/>
    <col min="2" max="2" width="10.77734375" customWidth="1"/>
    <col min="3" max="3" width="3.44140625" bestFit="1" customWidth="1"/>
    <col min="4" max="4" width="34.109375" customWidth="1"/>
    <col min="5" max="6" width="10.77734375" customWidth="1"/>
    <col min="7" max="7" width="12.5546875" customWidth="1"/>
    <col min="8" max="8" width="10.6640625" bestFit="1" customWidth="1"/>
    <col min="9" max="10" width="7.109375" bestFit="1" customWidth="1"/>
  </cols>
  <sheetData>
    <row r="1" spans="1:10" s="12" customFormat="1" ht="21" x14ac:dyDescent="0.4">
      <c r="A1" s="10" t="s">
        <v>63</v>
      </c>
      <c r="B1" s="11"/>
      <c r="D1" s="73" t="s">
        <v>12</v>
      </c>
      <c r="E1" s="74">
        <v>2023</v>
      </c>
      <c r="F1" s="13"/>
      <c r="G1" s="14" t="s">
        <v>30</v>
      </c>
      <c r="I1" t="s">
        <v>31</v>
      </c>
      <c r="J1" t="s">
        <v>32</v>
      </c>
    </row>
    <row r="2" spans="1:10" s="12" customFormat="1" ht="15.6" x14ac:dyDescent="0.3">
      <c r="A2" s="10" t="s">
        <v>64</v>
      </c>
      <c r="B2" s="11"/>
      <c r="D2" s="15"/>
      <c r="E2" s="75" t="s">
        <v>7</v>
      </c>
      <c r="F2" s="76" t="s">
        <v>13</v>
      </c>
      <c r="G2" s="16" t="str">
        <f>IF($B$2=$F$2, F3, IF($B$2=$E$2, E3, ""))</f>
        <v/>
      </c>
    </row>
    <row r="3" spans="1:10" s="12" customFormat="1" ht="15.6" x14ac:dyDescent="0.3">
      <c r="A3" s="10" t="s">
        <v>65</v>
      </c>
      <c r="B3" s="17"/>
      <c r="D3" s="18" t="s">
        <v>14</v>
      </c>
      <c r="E3" s="19">
        <v>11000</v>
      </c>
      <c r="F3" s="20">
        <v>20550</v>
      </c>
      <c r="G3" s="16" t="str">
        <f>IF($B$2=$F$2, F4, IF($B$2=$E$2, E4, ""))</f>
        <v/>
      </c>
    </row>
    <row r="4" spans="1:10" s="12" customFormat="1" ht="15.6" x14ac:dyDescent="0.3">
      <c r="A4" s="10" t="str">
        <f>IF(B2=F2, "Age of Client 2 (required)",  "")</f>
        <v/>
      </c>
      <c r="B4" s="21"/>
      <c r="D4" s="18" t="s">
        <v>15</v>
      </c>
      <c r="E4" s="19">
        <v>44725</v>
      </c>
      <c r="F4" s="20">
        <v>83550</v>
      </c>
      <c r="G4" s="16" t="str">
        <f>IF($B$2=$F$2, F5, IF($B$2=$E$2, E5, ""))</f>
        <v/>
      </c>
    </row>
    <row r="5" spans="1:10" s="12" customFormat="1" ht="15.6" x14ac:dyDescent="0.3">
      <c r="A5" s="8" t="s">
        <v>44</v>
      </c>
      <c r="D5" s="18" t="s">
        <v>16</v>
      </c>
      <c r="E5" s="19">
        <v>95375</v>
      </c>
      <c r="F5" s="20">
        <v>178150</v>
      </c>
      <c r="G5" s="16" t="str">
        <f>IF($B$2=$F$2, F6, IF($B$2=$E$2, E6, ""))</f>
        <v/>
      </c>
    </row>
    <row r="6" spans="1:10" s="12" customFormat="1" ht="15.6" x14ac:dyDescent="0.3">
      <c r="A6" s="12" t="s">
        <v>40</v>
      </c>
      <c r="B6" s="22"/>
      <c r="C6" s="23"/>
      <c r="D6" s="18" t="s">
        <v>19</v>
      </c>
      <c r="E6" s="19">
        <v>97000</v>
      </c>
      <c r="F6" s="20">
        <v>194000</v>
      </c>
      <c r="G6" s="16" t="str">
        <f>IF($B$2=$F$2, F7, IF($B$2=$E$2, E7, ""))</f>
        <v/>
      </c>
    </row>
    <row r="7" spans="1:10" s="12" customFormat="1" ht="15.6" x14ac:dyDescent="0.3">
      <c r="A7" s="12" t="s">
        <v>41</v>
      </c>
      <c r="B7" s="22"/>
      <c r="D7" s="18" t="s">
        <v>17</v>
      </c>
      <c r="E7" s="19">
        <v>25000</v>
      </c>
      <c r="F7" s="20">
        <v>32000</v>
      </c>
      <c r="G7" s="16" t="str">
        <f>IF($B$2=$F$2, F8, IF($B$2=$E$2, E8, ""))</f>
        <v/>
      </c>
    </row>
    <row r="8" spans="1:10" s="12" customFormat="1" ht="15.6" x14ac:dyDescent="0.3">
      <c r="A8" s="12" t="s">
        <v>42</v>
      </c>
      <c r="B8" s="22"/>
      <c r="D8" s="18" t="s">
        <v>18</v>
      </c>
      <c r="E8" s="19">
        <v>34000</v>
      </c>
      <c r="F8" s="20">
        <v>44000</v>
      </c>
      <c r="G8" s="16" t="str">
        <f>IF($B$2=$F$2, F9, IF($B$2=$E$2, E9, ""))</f>
        <v/>
      </c>
    </row>
    <row r="9" spans="1:10" s="12" customFormat="1" ht="15.6" x14ac:dyDescent="0.3">
      <c r="A9" s="12" t="s">
        <v>8</v>
      </c>
      <c r="B9" s="22"/>
      <c r="D9" s="24" t="s">
        <v>39</v>
      </c>
      <c r="E9" s="19">
        <v>182100</v>
      </c>
      <c r="F9" s="20">
        <v>364200</v>
      </c>
      <c r="G9" s="16">
        <f>IF($B$2=$F$2, F10, IF($B$2=$E$2, E10, 0))</f>
        <v>0</v>
      </c>
    </row>
    <row r="10" spans="1:10" s="12" customFormat="1" ht="15.6" x14ac:dyDescent="0.3">
      <c r="A10" s="12" t="s">
        <v>43</v>
      </c>
      <c r="B10" s="22"/>
      <c r="D10" s="18" t="s">
        <v>6</v>
      </c>
      <c r="E10" s="19">
        <v>13850</v>
      </c>
      <c r="F10" s="20">
        <v>27700</v>
      </c>
      <c r="G10" s="16">
        <f>IF(B3="", 0, SUM(I10:J10))</f>
        <v>0</v>
      </c>
      <c r="H10" s="25" t="s">
        <v>20</v>
      </c>
      <c r="I10" s="26" t="str">
        <f>IF(B3=H11, "", IF(B3=H12, "", IF(B3="", "", IF(B2=E2, E11, IF(B3=H10, F11)))))</f>
        <v/>
      </c>
      <c r="J10" s="27" t="str">
        <f>IF(B2=E2, "", IF(B4=H10, F11, ""))</f>
        <v/>
      </c>
    </row>
    <row r="11" spans="1:10" s="12" customFormat="1" ht="16.2" thickBot="1" x14ac:dyDescent="0.35">
      <c r="A11" s="12" t="s">
        <v>36</v>
      </c>
      <c r="B11" s="22"/>
      <c r="D11" s="28" t="s">
        <v>22</v>
      </c>
      <c r="E11" s="29">
        <v>1850</v>
      </c>
      <c r="F11" s="30">
        <v>1500</v>
      </c>
      <c r="H11" s="31" t="s">
        <v>21</v>
      </c>
      <c r="I11" s="32" t="str">
        <f>IF(B3=H11, "X", "")</f>
        <v/>
      </c>
      <c r="J11" s="33" t="str">
        <f>IF(B2=E2, "", IF(B4=H11, "X", ""))</f>
        <v/>
      </c>
    </row>
    <row r="12" spans="1:10" s="12" customFormat="1" ht="15.6" x14ac:dyDescent="0.3">
      <c r="A12" s="12" t="s">
        <v>37</v>
      </c>
      <c r="B12" s="22"/>
      <c r="H12" s="34" t="s">
        <v>57</v>
      </c>
      <c r="I12" s="35" t="str">
        <f>IF(B3=H12, "X", "")</f>
        <v/>
      </c>
      <c r="J12" s="36" t="str">
        <f>IF(B4=H12, "X", "")</f>
        <v/>
      </c>
    </row>
    <row r="13" spans="1:10" s="12" customFormat="1" ht="15.6" x14ac:dyDescent="0.3">
      <c r="A13" s="12" t="s">
        <v>45</v>
      </c>
      <c r="B13" s="22"/>
      <c r="D13" s="12" t="s">
        <v>54</v>
      </c>
      <c r="E13" s="37">
        <v>0.03</v>
      </c>
      <c r="H13" s="38" t="s">
        <v>61</v>
      </c>
      <c r="I13" s="39"/>
      <c r="J13" s="40"/>
    </row>
    <row r="14" spans="1:10" s="12" customFormat="1" ht="15.6" x14ac:dyDescent="0.3">
      <c r="A14" s="12" t="s">
        <v>23</v>
      </c>
      <c r="B14" s="22"/>
      <c r="D14" s="12" t="s">
        <v>55</v>
      </c>
      <c r="E14" s="41">
        <v>2026</v>
      </c>
      <c r="H14" s="42" t="s">
        <v>62</v>
      </c>
      <c r="I14" s="43"/>
      <c r="J14" s="44"/>
    </row>
    <row r="15" spans="1:10" s="12" customFormat="1" ht="16.2" thickBot="1" x14ac:dyDescent="0.35">
      <c r="A15" s="45" t="s">
        <v>47</v>
      </c>
      <c r="B15" s="46">
        <f>+SUM(B6:B14)</f>
        <v>0</v>
      </c>
      <c r="C15" s="47"/>
      <c r="D15" s="48" t="s">
        <v>59</v>
      </c>
      <c r="E15" s="48"/>
    </row>
    <row r="16" spans="1:10" s="12" customFormat="1" ht="15.6" x14ac:dyDescent="0.3">
      <c r="A16" s="49" t="s">
        <v>48</v>
      </c>
      <c r="B16" s="50">
        <f>(B6*0.85)+SUM(B7:B14)</f>
        <v>0</v>
      </c>
      <c r="C16" s="47"/>
      <c r="D16" s="48" t="s">
        <v>60</v>
      </c>
      <c r="E16" s="51"/>
    </row>
    <row r="17" spans="1:4" s="12" customFormat="1" ht="15.6" x14ac:dyDescent="0.3">
      <c r="A17" s="12" t="s">
        <v>6</v>
      </c>
      <c r="B17" s="52">
        <f>G9</f>
        <v>0</v>
      </c>
      <c r="C17" s="47"/>
    </row>
    <row r="18" spans="1:4" s="12" customFormat="1" ht="15.6" x14ac:dyDescent="0.3">
      <c r="A18" s="12" t="s">
        <v>38</v>
      </c>
      <c r="B18" s="52">
        <f>IF(B15=0, 0, IF(B15-B17-B19&lt;G8, 0.2*SUM(B11:B12), 0))</f>
        <v>0</v>
      </c>
      <c r="C18" s="47"/>
    </row>
    <row r="19" spans="1:4" s="12" customFormat="1" ht="15.6" x14ac:dyDescent="0.3">
      <c r="A19" s="12" t="s">
        <v>5</v>
      </c>
      <c r="B19" s="52">
        <f>G10</f>
        <v>0</v>
      </c>
    </row>
    <row r="20" spans="1:4" s="12" customFormat="1" ht="16.2" thickBot="1" x14ac:dyDescent="0.35">
      <c r="A20" s="45" t="s">
        <v>29</v>
      </c>
      <c r="B20" s="46">
        <f>B16-SUM(B17:B19)</f>
        <v>0</v>
      </c>
      <c r="C20" s="53"/>
    </row>
    <row r="21" spans="1:4" s="12" customFormat="1" ht="6" customHeight="1" x14ac:dyDescent="0.3">
      <c r="A21" s="48"/>
      <c r="B21" s="54"/>
      <c r="C21" s="53"/>
    </row>
    <row r="22" spans="1:4" s="12" customFormat="1" ht="15.6" x14ac:dyDescent="0.3">
      <c r="A22" s="12" t="s">
        <v>58</v>
      </c>
      <c r="B22" s="52" t="str">
        <f>IF(B20&lt;0, ABS(B20), "")</f>
        <v/>
      </c>
      <c r="C22" s="47"/>
    </row>
    <row r="23" spans="1:4" s="12" customFormat="1" ht="15.6" x14ac:dyDescent="0.3">
      <c r="A23" s="12" t="s">
        <v>26</v>
      </c>
      <c r="B23" s="52" t="str">
        <f>IF(B2="", "", IF(B20&gt;G2, "", G2-B20))</f>
        <v/>
      </c>
      <c r="C23" s="47"/>
    </row>
    <row r="24" spans="1:4" s="12" customFormat="1" ht="15.6" x14ac:dyDescent="0.3">
      <c r="A24" s="12" t="s">
        <v>27</v>
      </c>
      <c r="B24" s="52" t="str">
        <f>IF(B2="", "", IF(B20&gt;G3, "", G3-B20))</f>
        <v/>
      </c>
      <c r="C24" s="47"/>
    </row>
    <row r="25" spans="1:4" s="12" customFormat="1" ht="15.6" x14ac:dyDescent="0.3">
      <c r="A25" s="12" t="s">
        <v>28</v>
      </c>
      <c r="B25" s="55" t="str">
        <f>IF(B2="", "", IF(B20&gt;G4, "", G4-B20))</f>
        <v/>
      </c>
      <c r="C25" s="53"/>
    </row>
    <row r="26" spans="1:4" s="12" customFormat="1" ht="15.6" x14ac:dyDescent="0.3">
      <c r="A26" s="12" t="s">
        <v>35</v>
      </c>
      <c r="B26" s="16" t="str">
        <f>IF(B2="", "", IF(B3=H12, "", IF(SUM(B6:B14)&gt;G5*1.02, "", G5*1.02-SUM(B6:B14))))</f>
        <v/>
      </c>
    </row>
    <row r="27" spans="1:4" s="12" customFormat="1" ht="15.6" x14ac:dyDescent="0.3">
      <c r="A27" s="12" t="s">
        <v>24</v>
      </c>
      <c r="B27" s="52" t="str">
        <f>IF(B2="","",IF(B6="","",IF(B35&gt;=G6,"",G6-B35)))</f>
        <v/>
      </c>
    </row>
    <row r="28" spans="1:4" s="12" customFormat="1" ht="16.2" thickBot="1" x14ac:dyDescent="0.35">
      <c r="A28" s="12" t="s">
        <v>25</v>
      </c>
      <c r="B28" s="52" t="str">
        <f>IF(B2="", "", IF(B6="", "", IF(B35&gt;G7, "",G7- B35)))</f>
        <v/>
      </c>
    </row>
    <row r="29" spans="1:4" s="12" customFormat="1" ht="16.2" thickBot="1" x14ac:dyDescent="0.35">
      <c r="A29" s="56" t="s">
        <v>34</v>
      </c>
      <c r="B29" s="57">
        <f>IF(E16=H13, 0, IF(B6=0, ROUNDDOWN(MIN(B23:B26), -2.5), IF(E44="No", ROUNDDOWN(B27, -2.5), IF(B44="No", ROUNDDOWN(B28, -2.5), ROUNDDOWN(MIN(B24:B26), -2.5)))))</f>
        <v>0</v>
      </c>
      <c r="C29" s="58" t="str">
        <f>IF(MIN(B22:B28)&lt;B29, "OR", "")</f>
        <v/>
      </c>
      <c r="D29" s="59" t="str">
        <f>IF(C29="OR", ROUNDDOWN(MIN(B22:B28), -2.5), "")</f>
        <v/>
      </c>
    </row>
    <row r="30" spans="1:4" s="12" customFormat="1" ht="15.6" x14ac:dyDescent="0.3">
      <c r="B30" s="16"/>
      <c r="D30" s="60" t="str">
        <f>IF(D29="", "", "If no savings/investment account")</f>
        <v/>
      </c>
    </row>
    <row r="31" spans="1:4" ht="18.600000000000001" thickBot="1" x14ac:dyDescent="0.4">
      <c r="A31" s="2" t="s">
        <v>1</v>
      </c>
      <c r="B31" s="3"/>
      <c r="C31" s="4"/>
      <c r="D31" s="9" t="str">
        <f>IF(D30="", "", "to pay the conversion tax.")</f>
        <v/>
      </c>
    </row>
    <row r="32" spans="1:4" s="12" customFormat="1" ht="15.6" x14ac:dyDescent="0.3">
      <c r="A32" s="12" t="s">
        <v>0</v>
      </c>
      <c r="B32" s="52" t="str">
        <f>IF(B6="", "", IF(B6=0, "", B6))</f>
        <v/>
      </c>
      <c r="C32" s="61"/>
    </row>
    <row r="33" spans="1:6" s="12" customFormat="1" ht="15.6" x14ac:dyDescent="0.3">
      <c r="A33" s="12" t="s">
        <v>4</v>
      </c>
      <c r="B33" s="52" t="str">
        <f>B39</f>
        <v/>
      </c>
      <c r="C33" s="47"/>
      <c r="D33" s="10" t="str">
        <f>IF(B29=0, "", "Expected Fed Tax Due Rec:")</f>
        <v/>
      </c>
      <c r="E33" s="62" t="str">
        <f>IF(B29=0,"",IF(B20+B29&lt;=G2,0.1*B29,IF(B29+B20&lt;G3,0.12*B29,IF(B20+B29&lt;=G4,0.22*B29,"Don't convert"))))</f>
        <v/>
      </c>
    </row>
    <row r="34" spans="1:6" s="12" customFormat="1" ht="15.6" x14ac:dyDescent="0.3">
      <c r="A34" s="12" t="s">
        <v>46</v>
      </c>
      <c r="B34" s="52">
        <f>SUM(B7:B14)</f>
        <v>0</v>
      </c>
      <c r="C34" s="47"/>
      <c r="D34" s="63" t="str">
        <f>IF(D29="", "", "Expected Fed Tax Due on Alt:")</f>
        <v/>
      </c>
      <c r="E34" s="64" t="str">
        <f>IF(D29="","",IF(B20+D29&lt;=0,0,IF(B20+D29&lt;G2,0.1*D29,IF(D29+B20&lt;G3,0.12*D29,IF(B20+D29&lt;G4,0.22*D29)))))</f>
        <v/>
      </c>
    </row>
    <row r="35" spans="1:6" s="12" customFormat="1" ht="16.2" thickBot="1" x14ac:dyDescent="0.35">
      <c r="A35" s="45" t="s">
        <v>2</v>
      </c>
      <c r="B35" s="46" t="str">
        <f>IF(B32="", "", B33+B34)</f>
        <v/>
      </c>
      <c r="C35" s="47"/>
    </row>
    <row r="36" spans="1:6" s="12" customFormat="1" ht="6" customHeight="1" x14ac:dyDescent="0.3"/>
    <row r="37" spans="1:6" s="12" customFormat="1" ht="15.6" x14ac:dyDescent="0.3">
      <c r="A37" s="65" t="s">
        <v>33</v>
      </c>
      <c r="B37" s="66"/>
      <c r="C37" s="48"/>
      <c r="D37" s="65" t="s">
        <v>49</v>
      </c>
      <c r="E37" s="65"/>
      <c r="F37" s="65"/>
    </row>
    <row r="38" spans="1:6" s="12" customFormat="1" ht="15.6" x14ac:dyDescent="0.3">
      <c r="A38" s="12" t="s">
        <v>3</v>
      </c>
      <c r="B38" s="67" t="str">
        <f>IF(B32="", "", (0.85*B6))</f>
        <v/>
      </c>
      <c r="D38" s="12" t="s">
        <v>50</v>
      </c>
      <c r="E38" s="16" t="str">
        <f>IF(B6="","",IF(SUM(B27:B28)=0,"",IF(B27="", 0, IF(B44="Yes", B24-B27, B28-B27))))</f>
        <v/>
      </c>
    </row>
    <row r="39" spans="1:6" s="12" customFormat="1" ht="15.6" x14ac:dyDescent="0.3">
      <c r="A39" s="12" t="s">
        <v>4</v>
      </c>
      <c r="B39" s="67" t="str">
        <f>IF(B32="", "", (0.5*B6))</f>
        <v/>
      </c>
      <c r="D39" s="12" t="s">
        <v>56</v>
      </c>
      <c r="E39" s="16" t="str">
        <f>IF(B6="", "", IF(E38=0, "", IF(E38="", "", 0.12*B39)))</f>
        <v/>
      </c>
    </row>
    <row r="40" spans="1:6" s="12" customFormat="1" ht="15.6" x14ac:dyDescent="0.3">
      <c r="A40" s="12" t="s">
        <v>9</v>
      </c>
      <c r="B40" s="68" t="str">
        <f>IF(B32="", "", SUM(B38-B39))</f>
        <v/>
      </c>
      <c r="D40" s="12" t="s">
        <v>51</v>
      </c>
      <c r="E40" s="69" t="str">
        <f>IF(B6="", "", IF(E38=0, "", IF(E38="", "", IF(B44="Yes", E39/(B24-B27), IF(B44="No", E39/E38)))))</f>
        <v/>
      </c>
    </row>
    <row r="41" spans="1:6" s="12" customFormat="1" ht="15.6" x14ac:dyDescent="0.3">
      <c r="A41" s="12" t="s">
        <v>10</v>
      </c>
      <c r="B41" s="68" t="str">
        <f>IF(B32="", "", SUM(0.12*B40))</f>
        <v/>
      </c>
      <c r="D41" s="12" t="s">
        <v>52</v>
      </c>
      <c r="E41" s="70" t="str">
        <f>IF(B2="", "", IF(B6="", "",IF(E38=0, "", IF(E38="", "", E13-E40))))</f>
        <v/>
      </c>
    </row>
    <row r="42" spans="1:6" s="12" customFormat="1" ht="15.6" x14ac:dyDescent="0.3">
      <c r="A42" s="12" t="s">
        <v>11</v>
      </c>
      <c r="B42" s="71" t="str">
        <f>IF(B2="", "", IF(B35&gt;G7, "", IF(B20&gt;G3, 0, B41/B24)))</f>
        <v/>
      </c>
    </row>
    <row r="43" spans="1:6" s="12" customFormat="1" ht="15.6" x14ac:dyDescent="0.3">
      <c r="A43" s="12" t="s">
        <v>53</v>
      </c>
      <c r="B43" s="72" t="str">
        <f>IF(B42="", "", E13-B42)</f>
        <v/>
      </c>
    </row>
    <row r="44" spans="1:6" x14ac:dyDescent="0.3">
      <c r="A44" s="5" t="str">
        <f>IF(B44="", "", "Worth it to do Top of 12% Bracket instead of Top of 50% SS tax level:")</f>
        <v/>
      </c>
      <c r="B44" s="6" t="str">
        <f>IF(SUM(B27:B28)=0, "", IF(B43&lt;0, "No", "Yes"))</f>
        <v/>
      </c>
      <c r="D44" s="1" t="str">
        <f>IF(E44="", "", "Worth it to Pay tax on 50% of SS?")</f>
        <v/>
      </c>
      <c r="E44" s="7" t="str">
        <f>IF(B6="", "", IF(E41="", "", IF(E41&lt;0,"No",IF(E41&gt;0,"Yes",""))))</f>
        <v/>
      </c>
    </row>
    <row r="45" spans="1:6" ht="4.2" customHeight="1" x14ac:dyDescent="0.3"/>
  </sheetData>
  <sheetProtection algorithmName="SHA-512" hashValue="9RnyQlHvPFFNWm9nJYrvfjteHtreNDilKLWV5ME5xzMM2uD27l84/edVXyhw1Cigw9Ztn9YMiX69S5IbA9FAjA==" saltValue="jQLAi1gEiALWm04hAk8K7A==" spinCount="100000" sheet="1" objects="1" scenarios="1"/>
  <dataValidations disablePrompts="1" xWindow="670" yWindow="461" count="7">
    <dataValidation type="list" allowBlank="1" showInputMessage="1" showErrorMessage="1" sqref="B3:B4">
      <formula1>$H$9:$H$12</formula1>
    </dataValidation>
    <dataValidation type="whole" allowBlank="1" showInputMessage="1" showErrorMessage="1" errorTitle="$ Dollars!" error="The figure input needs to be in annual dollars. " promptTitle="Annual Dollar Amount" prompt="$" sqref="B6:B9 B11:B13">
      <formula1>0</formula1>
      <formula2>1000000</formula2>
    </dataValidation>
    <dataValidation type="whole" allowBlank="1" showInputMessage="1" showErrorMessage="1" errorTitle="$ Dollars!" error="The figure input needs to be in annual dollars. " promptTitle="Annual Dollar Amount" prompt="$" sqref="B10">
      <formula1>-3000</formula1>
      <formula2>1000000</formula2>
    </dataValidation>
    <dataValidation type="decimal" allowBlank="1" showInputMessage="1" showErrorMessage="1" sqref="E13">
      <formula1>0</formula1>
      <formula2>1</formula2>
    </dataValidation>
    <dataValidation type="whole" allowBlank="1" showInputMessage="1" showErrorMessage="1" errorTitle="$ Dollars!" error="The figure input needs to be in annual dollars. " promptTitle="Annual Dollar Amount" prompt="$" sqref="B14">
      <formula1>-1000000</formula1>
      <formula2>1000000</formula2>
    </dataValidation>
    <dataValidation type="list" allowBlank="1" showInputMessage="1" showErrorMessage="1" sqref="E16">
      <formula1>$H$13:$H$15</formula1>
    </dataValidation>
    <dataValidation type="list" allowBlank="1" showInputMessage="1" showErrorMessage="1" sqref="B2">
      <formula1>$D$2:$F$2</formula1>
    </dataValidation>
  </dataValidations>
  <pageMargins left="0.7" right="0.7" top="1.31375" bottom="0.75" header="0.3" footer="0.3"/>
  <pageSetup scale="66" orientation="landscape" r:id="rId1"/>
  <headerFooter>
    <oddHeader>&amp;L
&amp;G&amp;C&amp;"-,Bold"&amp;28
Roth Conversion Calculator</oddHeader>
    <oddFooter>&amp;C&amp;D</oddFoot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Roth Conversion</vt:lpstr>
      <vt:lpstr>'Roth Conversion'!Print_Area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Pereira</dc:creator>
  <cp:lastModifiedBy>Adam Sommers</cp:lastModifiedBy>
  <cp:lastPrinted>2023-01-12T17:59:47Z</cp:lastPrinted>
  <dcterms:created xsi:type="dcterms:W3CDTF">2020-11-02T22:43:40Z</dcterms:created>
  <dcterms:modified xsi:type="dcterms:W3CDTF">2023-01-12T18:00:40Z</dcterms:modified>
</cp:coreProperties>
</file>