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5033\Dropbox (SFM)\Sommers Financial Management\Shared\Client Files\"/>
    </mc:Choice>
  </mc:AlternateContent>
  <bookViews>
    <workbookView xWindow="0" yWindow="0" windowWidth="23040" windowHeight="10644"/>
  </bookViews>
  <sheets>
    <sheet name="Roth Conversion" sheetId="1" r:id="rId1"/>
  </sheets>
  <definedNames>
    <definedName name="_xlnm.Print_Area" localSheetId="0">'Roth Conversion'!$A$1:$F$44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I11" i="1"/>
  <c r="B17" i="1" l="1"/>
  <c r="B16" i="1"/>
  <c r="G10" i="1"/>
  <c r="A5" i="1" l="1"/>
  <c r="G4" i="1"/>
  <c r="G5" i="1"/>
  <c r="G6" i="1"/>
  <c r="B26" i="1" s="1"/>
  <c r="G7" i="1"/>
  <c r="G8" i="1"/>
  <c r="G9" i="1"/>
  <c r="B18" i="1"/>
  <c r="G3" i="1"/>
  <c r="B34" i="1"/>
  <c r="J12" i="1"/>
  <c r="J11" i="1"/>
  <c r="G11" i="1" l="1"/>
  <c r="I12" i="1"/>
  <c r="B20" i="1" l="1"/>
  <c r="B19" i="1" s="1"/>
  <c r="B21" i="1" s="1"/>
  <c r="B39" i="1"/>
  <c r="B33" i="1" s="1"/>
  <c r="B38" i="1"/>
  <c r="B32" i="1"/>
  <c r="B35" i="1" l="1"/>
  <c r="B40" i="1"/>
  <c r="B41" i="1" s="1"/>
  <c r="B27" i="1" l="1"/>
  <c r="B28" i="1"/>
  <c r="B25" i="1"/>
  <c r="B24" i="1"/>
  <c r="B42" i="1" s="1"/>
  <c r="B23" i="1"/>
  <c r="B43" i="1" l="1"/>
  <c r="B44" i="1" s="1"/>
  <c r="A44" i="1" s="1"/>
  <c r="E38" i="1" l="1"/>
  <c r="E39" i="1" l="1"/>
  <c r="E40" i="1" s="1"/>
  <c r="E41" i="1" s="1"/>
  <c r="E44" i="1" s="1"/>
  <c r="B29" i="1" l="1"/>
  <c r="E33" i="1" s="1"/>
  <c r="D44" i="1"/>
  <c r="C29" i="1" l="1"/>
  <c r="D29" i="1" s="1"/>
  <c r="D34" i="1" s="1"/>
  <c r="D30" i="1" l="1"/>
  <c r="D31" i="1" s="1"/>
  <c r="E34" i="1"/>
</calcChain>
</file>

<file path=xl/sharedStrings.xml><?xml version="1.0" encoding="utf-8"?>
<sst xmlns="http://schemas.openxmlformats.org/spreadsheetml/2006/main" count="65" uniqueCount="63">
  <si>
    <t>Annual amount of Social Security currently receiving</t>
  </si>
  <si>
    <t>Social Security Taxability Calculation</t>
  </si>
  <si>
    <t>Income according to SS Rules</t>
  </si>
  <si>
    <t xml:space="preserve">85% of Social Security </t>
  </si>
  <si>
    <t>50% of Social Security</t>
  </si>
  <si>
    <t>Elder Deduction</t>
  </si>
  <si>
    <t>Standard Deduction</t>
  </si>
  <si>
    <t>Single</t>
  </si>
  <si>
    <t>Dividends &amp; Interest on taxable accounts (to date &amp; future estimates)</t>
  </si>
  <si>
    <t>Difference between 85% and 50% of SS</t>
  </si>
  <si>
    <t>12% tax on the difference (35%)</t>
  </si>
  <si>
    <t>Percentage of extra tax</t>
  </si>
  <si>
    <t>Important Thresholds</t>
  </si>
  <si>
    <t>Married</t>
  </si>
  <si>
    <t>Taxable 10% Federal Tax Bracket:</t>
  </si>
  <si>
    <t>Taxable 12% Federal Tax Bracket:</t>
  </si>
  <si>
    <t>Taxable 22% Federal Tax Bracket:</t>
  </si>
  <si>
    <t>50% of Combined Income SS Taxed:</t>
  </si>
  <si>
    <t>85% of Combind Income SS Taxed:</t>
  </si>
  <si>
    <t>Client Name</t>
  </si>
  <si>
    <t>Filing Status</t>
  </si>
  <si>
    <t>Age of Client 1</t>
  </si>
  <si>
    <t>"Gross" Limit for Medicare Pt B:</t>
  </si>
  <si>
    <t>65 or Over</t>
  </si>
  <si>
    <t>Under 65</t>
  </si>
  <si>
    <t>Additional Deduction (over age 65)</t>
  </si>
  <si>
    <t>SFM Roth Conversion Calculator</t>
  </si>
  <si>
    <t>Other Income</t>
  </si>
  <si>
    <t>Able to Convert and have Social Security Not Taxed:</t>
  </si>
  <si>
    <t>Able to Convert and keep only 50% of Social Security Taxed:</t>
  </si>
  <si>
    <t>Able to Convert in the 10% Tax Bracket:</t>
  </si>
  <si>
    <t>Able to Convert in the 12% Tax Bracket:</t>
  </si>
  <si>
    <t>Able to Convert in the 22% Tax Bracket:</t>
  </si>
  <si>
    <t>Taxable Income before Conversion</t>
  </si>
  <si>
    <t>Client</t>
  </si>
  <si>
    <t>Client 1</t>
  </si>
  <si>
    <t>Client 2</t>
  </si>
  <si>
    <t>Additional tax on 35% of SS if converting to top of 12% Bracket</t>
  </si>
  <si>
    <t>RECOMMENDED CONVERSION AMOUNT:</t>
  </si>
  <si>
    <t>Able to Convert &amp; Remain Below Medicare Part B IRMAA:</t>
  </si>
  <si>
    <t>Net Rental Income</t>
  </si>
  <si>
    <t>Net Business Income</t>
  </si>
  <si>
    <t>QBI Deducution</t>
  </si>
  <si>
    <t>QBI "Taxable" Income Limits</t>
  </si>
  <si>
    <t>Annual Social Security Benefits (Gross)</t>
  </si>
  <si>
    <t>Annual Pension Income (Gross)</t>
  </si>
  <si>
    <t>Annual Wage/Salary Income (Gross)</t>
  </si>
  <si>
    <t>Estimated Realized Capital Gains/Losses on taxable accounts</t>
  </si>
  <si>
    <t>Income Estimates</t>
  </si>
  <si>
    <t>IRA Distributions</t>
  </si>
  <si>
    <t>Other Gross Income:</t>
  </si>
  <si>
    <t>Gross Income</t>
  </si>
  <si>
    <t>Gross Income (counting 85% of SS benefits)</t>
  </si>
  <si>
    <t>Additional Tax on 50% of SS if converting to 50% top</t>
  </si>
  <si>
    <t>Difference in Amount Converted:</t>
  </si>
  <si>
    <t>% of extra tax:</t>
  </si>
  <si>
    <t>How much savings?</t>
  </si>
  <si>
    <t>How much savings vs. rates rising?</t>
  </si>
  <si>
    <t>Expected Increase in Tax Rates:</t>
  </si>
  <si>
    <t>When do we expect tax increases?</t>
  </si>
  <si>
    <t>12% Tax on 50% of SS:</t>
  </si>
  <si>
    <t>Under 63</t>
  </si>
  <si>
    <t>Expected Fed Tax Due on Rec: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</si>
</sst>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0_);\(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9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0" xfId="0" applyFill="1"/>
    <xf numFmtId="0" fontId="2" fillId="0" borderId="0" xfId="0" applyFont="1" applyFill="1"/>
    <xf numFmtId="9" fontId="0" fillId="0" borderId="0" xfId="0" applyNumberFormat="1" applyFill="1"/>
    <xf numFmtId="0" fontId="0" fillId="0" borderId="0" xfId="0" applyAlignment="1">
      <alignment horizontal="center"/>
    </xf>
    <xf numFmtId="165" fontId="0" fillId="0" borderId="0" xfId="1" applyNumberFormat="1" applyFont="1" applyFill="1"/>
    <xf numFmtId="165" fontId="2" fillId="0" borderId="0" xfId="1" applyNumberFormat="1" applyFont="1" applyFill="1"/>
    <xf numFmtId="165" fontId="0" fillId="0" borderId="0" xfId="0" applyNumberFormat="1"/>
    <xf numFmtId="0" fontId="2" fillId="0" borderId="5" xfId="0" applyFont="1" applyBorder="1"/>
    <xf numFmtId="0" fontId="0" fillId="0" borderId="5" xfId="0" applyBorder="1"/>
    <xf numFmtId="0" fontId="0" fillId="0" borderId="8" xfId="0" applyBorder="1"/>
    <xf numFmtId="0" fontId="5" fillId="0" borderId="0" xfId="0" applyFont="1" applyAlignment="1">
      <alignment horizontal="center"/>
    </xf>
    <xf numFmtId="0" fontId="3" fillId="0" borderId="2" xfId="0" applyFont="1" applyBorder="1"/>
    <xf numFmtId="165" fontId="0" fillId="4" borderId="1" xfId="1" applyNumberFormat="1" applyFont="1" applyFill="1" applyBorder="1"/>
    <xf numFmtId="165" fontId="0" fillId="4" borderId="7" xfId="1" applyNumberFormat="1" applyFont="1" applyFill="1" applyBorder="1"/>
    <xf numFmtId="165" fontId="0" fillId="4" borderId="9" xfId="1" applyNumberFormat="1" applyFont="1" applyFill="1" applyBorder="1"/>
    <xf numFmtId="0" fontId="3" fillId="4" borderId="3" xfId="0" applyFont="1" applyFill="1" applyBorder="1" applyAlignment="1">
      <alignment horizontal="center"/>
    </xf>
    <xf numFmtId="0" fontId="0" fillId="0" borderId="0" xfId="0" applyFont="1"/>
    <xf numFmtId="165" fontId="0" fillId="0" borderId="0" xfId="1" applyNumberFormat="1" applyFont="1" applyAlignment="1">
      <alignment horizontal="center"/>
    </xf>
    <xf numFmtId="0" fontId="0" fillId="0" borderId="11" xfId="0" applyBorder="1"/>
    <xf numFmtId="165" fontId="0" fillId="0" borderId="12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0" xfId="0" applyNumberFormat="1" applyFont="1" applyFill="1"/>
    <xf numFmtId="165" fontId="1" fillId="0" borderId="0" xfId="1" applyNumberFormat="1" applyFont="1" applyFill="1"/>
    <xf numFmtId="165" fontId="0" fillId="0" borderId="0" xfId="1" applyNumberFormat="1" applyFont="1" applyFill="1" applyAlignment="1">
      <alignment horizontal="center"/>
    </xf>
    <xf numFmtId="164" fontId="0" fillId="0" borderId="0" xfId="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9" xfId="0" applyFont="1" applyBorder="1"/>
    <xf numFmtId="165" fontId="2" fillId="0" borderId="19" xfId="1" applyNumberFormat="1" applyFont="1" applyFill="1" applyBorder="1"/>
    <xf numFmtId="0" fontId="2" fillId="0" borderId="0" xfId="0" applyFont="1" applyBorder="1"/>
    <xf numFmtId="0" fontId="3" fillId="0" borderId="4" xfId="0" applyFont="1" applyBorder="1"/>
    <xf numFmtId="0" fontId="2" fillId="0" borderId="6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1" applyNumberFormat="1" applyFont="1" applyFill="1" applyBorder="1" applyProtection="1">
      <protection locked="0"/>
    </xf>
    <xf numFmtId="0" fontId="0" fillId="0" borderId="5" xfId="0" applyFill="1" applyBorder="1"/>
    <xf numFmtId="165" fontId="0" fillId="4" borderId="20" xfId="1" applyNumberFormat="1" applyFont="1" applyFill="1" applyBorder="1"/>
    <xf numFmtId="44" fontId="1" fillId="0" borderId="15" xfId="1" applyFont="1" applyBorder="1"/>
    <xf numFmtId="0" fontId="6" fillId="0" borderId="15" xfId="0" applyFont="1" applyBorder="1"/>
    <xf numFmtId="0" fontId="0" fillId="0" borderId="0" xfId="0" applyFont="1" applyBorder="1"/>
    <xf numFmtId="165" fontId="1" fillId="0" borderId="0" xfId="1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166" fontId="0" fillId="4" borderId="1" xfId="1" applyNumberFormat="1" applyFont="1" applyFill="1" applyBorder="1" applyAlignment="1">
      <alignment horizontal="center"/>
    </xf>
    <xf numFmtId="164" fontId="0" fillId="0" borderId="0" xfId="2" applyNumberFormat="1" applyFont="1"/>
    <xf numFmtId="9" fontId="0" fillId="2" borderId="1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0" borderId="24" xfId="0" applyBorder="1" applyAlignment="1">
      <alignment horizontal="center"/>
    </xf>
    <xf numFmtId="0" fontId="8" fillId="0" borderId="0" xfId="0" applyFont="1"/>
    <xf numFmtId="0" fontId="9" fillId="0" borderId="0" xfId="0" applyFont="1"/>
    <xf numFmtId="165" fontId="9" fillId="0" borderId="0" xfId="1" applyNumberFormat="1" applyFont="1"/>
    <xf numFmtId="0" fontId="10" fillId="0" borderId="0" xfId="0" applyFont="1"/>
    <xf numFmtId="165" fontId="10" fillId="0" borderId="0" xfId="1" applyNumberFormat="1" applyFont="1"/>
    <xf numFmtId="5" fontId="10" fillId="0" borderId="22" xfId="1" applyNumberFormat="1" applyFont="1" applyBorder="1" applyAlignment="1">
      <alignment horizontal="left" indent="1"/>
    </xf>
    <xf numFmtId="0" fontId="11" fillId="0" borderId="17" xfId="0" applyFont="1" applyBorder="1" applyAlignment="1">
      <alignment horizontal="left" indent="1"/>
    </xf>
    <xf numFmtId="0" fontId="11" fillId="0" borderId="18" xfId="0" applyFont="1" applyBorder="1" applyAlignment="1">
      <alignment horizontal="left" indent="1"/>
    </xf>
    <xf numFmtId="0" fontId="9" fillId="3" borderId="10" xfId="0" applyFont="1" applyFill="1" applyBorder="1"/>
    <xf numFmtId="165" fontId="9" fillId="3" borderId="21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D17" sqref="D17"/>
    </sheetView>
  </sheetViews>
  <sheetFormatPr defaultRowHeight="14.4" x14ac:dyDescent="0.3"/>
  <cols>
    <col min="1" max="1" width="65.109375" bestFit="1" customWidth="1"/>
    <col min="2" max="2" width="11.109375" bestFit="1" customWidth="1"/>
    <col min="3" max="3" width="3.44140625" bestFit="1" customWidth="1"/>
    <col min="4" max="4" width="30.5546875" bestFit="1" customWidth="1"/>
    <col min="5" max="5" width="10.109375" bestFit="1" customWidth="1"/>
    <col min="6" max="6" width="10" customWidth="1"/>
    <col min="7" max="8" width="9.5546875" bestFit="1" customWidth="1"/>
    <col min="9" max="10" width="7.5546875" bestFit="1" customWidth="1"/>
  </cols>
  <sheetData>
    <row r="1" spans="1:10" ht="23.4" x14ac:dyDescent="0.45">
      <c r="A1" s="14" t="s">
        <v>26</v>
      </c>
      <c r="D1" s="15" t="s">
        <v>12</v>
      </c>
      <c r="E1" s="19">
        <v>2021</v>
      </c>
      <c r="F1" s="36"/>
      <c r="I1" t="s">
        <v>35</v>
      </c>
      <c r="J1" t="s">
        <v>36</v>
      </c>
    </row>
    <row r="2" spans="1:10" x14ac:dyDescent="0.3">
      <c r="A2" t="s">
        <v>19</v>
      </c>
      <c r="B2" s="40"/>
      <c r="D2" s="11"/>
      <c r="E2" s="35" t="s">
        <v>7</v>
      </c>
      <c r="F2" s="37" t="s">
        <v>13</v>
      </c>
      <c r="G2" s="7" t="s">
        <v>34</v>
      </c>
    </row>
    <row r="3" spans="1:10" x14ac:dyDescent="0.3">
      <c r="A3" t="s">
        <v>20</v>
      </c>
      <c r="B3" s="40"/>
      <c r="D3" s="12" t="s">
        <v>14</v>
      </c>
      <c r="E3" s="16">
        <v>9950</v>
      </c>
      <c r="F3" s="17">
        <v>19900</v>
      </c>
      <c r="G3" s="10" t="str">
        <f>IF($B$3=$F$2, F3, IF($B$3=$E$2, E3, ""))</f>
        <v/>
      </c>
    </row>
    <row r="4" spans="1:10" x14ac:dyDescent="0.3">
      <c r="A4" t="s">
        <v>21</v>
      </c>
      <c r="B4" s="41"/>
      <c r="D4" s="12" t="s">
        <v>15</v>
      </c>
      <c r="E4" s="16">
        <v>40525</v>
      </c>
      <c r="F4" s="17">
        <v>81050</v>
      </c>
      <c r="G4" s="10" t="str">
        <f t="shared" ref="G4:G9" si="0">IF($B$3=$F$2, F4, IF($B$3=$E$2, E4, ""))</f>
        <v/>
      </c>
    </row>
    <row r="5" spans="1:10" x14ac:dyDescent="0.3">
      <c r="A5" t="str">
        <f>IF(B3=F2, "Age of Client 2",  "")</f>
        <v/>
      </c>
      <c r="B5" s="41"/>
      <c r="D5" s="12" t="s">
        <v>16</v>
      </c>
      <c r="E5" s="16">
        <v>86375</v>
      </c>
      <c r="F5" s="17">
        <v>172750</v>
      </c>
      <c r="G5" s="10" t="str">
        <f t="shared" si="0"/>
        <v/>
      </c>
    </row>
    <row r="6" spans="1:10" ht="15.6" x14ac:dyDescent="0.3">
      <c r="A6" s="58" t="s">
        <v>48</v>
      </c>
      <c r="D6" s="12" t="s">
        <v>22</v>
      </c>
      <c r="E6" s="16">
        <v>88000</v>
      </c>
      <c r="F6" s="17">
        <v>176000</v>
      </c>
      <c r="G6" s="10" t="str">
        <f t="shared" si="0"/>
        <v/>
      </c>
    </row>
    <row r="7" spans="1:10" x14ac:dyDescent="0.3">
      <c r="A7" t="s">
        <v>44</v>
      </c>
      <c r="B7" s="42"/>
      <c r="C7" s="1"/>
      <c r="D7" s="12" t="s">
        <v>17</v>
      </c>
      <c r="E7" s="16">
        <v>25000</v>
      </c>
      <c r="F7" s="17">
        <v>32000</v>
      </c>
      <c r="G7" s="10" t="str">
        <f t="shared" si="0"/>
        <v/>
      </c>
    </row>
    <row r="8" spans="1:10" x14ac:dyDescent="0.3">
      <c r="A8" t="s">
        <v>45</v>
      </c>
      <c r="B8" s="42"/>
      <c r="D8" s="12" t="s">
        <v>18</v>
      </c>
      <c r="E8" s="16">
        <v>34000</v>
      </c>
      <c r="F8" s="17">
        <v>44000</v>
      </c>
      <c r="G8" s="10" t="str">
        <f t="shared" si="0"/>
        <v/>
      </c>
    </row>
    <row r="9" spans="1:10" x14ac:dyDescent="0.3">
      <c r="A9" t="s">
        <v>46</v>
      </c>
      <c r="B9" s="42"/>
      <c r="D9" s="43" t="s">
        <v>43</v>
      </c>
      <c r="E9" s="16">
        <v>164900</v>
      </c>
      <c r="F9" s="17">
        <v>329800</v>
      </c>
      <c r="G9" s="10" t="str">
        <f t="shared" si="0"/>
        <v/>
      </c>
    </row>
    <row r="10" spans="1:10" x14ac:dyDescent="0.3">
      <c r="A10" t="s">
        <v>8</v>
      </c>
      <c r="B10" s="42"/>
      <c r="D10" s="12" t="s">
        <v>6</v>
      </c>
      <c r="E10" s="16">
        <v>12550</v>
      </c>
      <c r="F10" s="17">
        <v>25100</v>
      </c>
      <c r="G10" s="10">
        <f>IF($B$3=$F$2, F10, IF($B$3=$E$2, E10, 0))</f>
        <v>0</v>
      </c>
    </row>
    <row r="11" spans="1:10" ht="15" thickBot="1" x14ac:dyDescent="0.35">
      <c r="A11" t="s">
        <v>47</v>
      </c>
      <c r="B11" s="42"/>
      <c r="D11" s="13" t="s">
        <v>25</v>
      </c>
      <c r="E11" s="18">
        <v>1700</v>
      </c>
      <c r="F11" s="44">
        <v>1350</v>
      </c>
      <c r="G11" s="10">
        <f>IF(B4="", 0, SUM(I11:J11))</f>
        <v>0</v>
      </c>
      <c r="H11" s="22" t="s">
        <v>23</v>
      </c>
      <c r="I11" s="23" t="str">
        <f>IF(B4=H12, "", IF(B4=H13, "", IF(B4="", "", IF(B3=E2, E11, IF(B4=H11, F11)))))</f>
        <v/>
      </c>
      <c r="J11" s="24" t="str">
        <f>IF(B3=E2, "", IF(B5=H11, F11, ""))</f>
        <v/>
      </c>
    </row>
    <row r="12" spans="1:10" x14ac:dyDescent="0.3">
      <c r="A12" t="s">
        <v>40</v>
      </c>
      <c r="B12" s="42"/>
      <c r="H12" s="56" t="s">
        <v>24</v>
      </c>
      <c r="I12" s="39" t="str">
        <f>IF(B4=H12, "X", "")</f>
        <v/>
      </c>
      <c r="J12" s="57" t="str">
        <f>IF(B3=E2, "", IF(B5=H12, "X", ""))</f>
        <v/>
      </c>
    </row>
    <row r="13" spans="1:10" x14ac:dyDescent="0.3">
      <c r="A13" t="s">
        <v>41</v>
      </c>
      <c r="B13" s="42"/>
      <c r="D13" t="s">
        <v>58</v>
      </c>
      <c r="E13" s="55">
        <v>0.03</v>
      </c>
      <c r="H13" s="25" t="s">
        <v>61</v>
      </c>
      <c r="I13" s="26" t="str">
        <f>IF(B4=H13, "X", "")</f>
        <v/>
      </c>
      <c r="J13" s="27" t="str">
        <f>IF(B5=H13, "X", "")</f>
        <v/>
      </c>
    </row>
    <row r="14" spans="1:10" x14ac:dyDescent="0.3">
      <c r="A14" t="s">
        <v>49</v>
      </c>
      <c r="B14" s="42"/>
      <c r="D14" t="s">
        <v>59</v>
      </c>
      <c r="E14" s="53">
        <v>2026</v>
      </c>
      <c r="H14" s="38"/>
      <c r="I14" s="39"/>
      <c r="J14" s="39"/>
    </row>
    <row r="15" spans="1:10" x14ac:dyDescent="0.3">
      <c r="A15" t="s">
        <v>27</v>
      </c>
      <c r="B15" s="42"/>
    </row>
    <row r="16" spans="1:10" ht="15" thickBot="1" x14ac:dyDescent="0.35">
      <c r="A16" s="33" t="s">
        <v>51</v>
      </c>
      <c r="B16" s="34">
        <f>+SUM(B7:B15)</f>
        <v>0</v>
      </c>
      <c r="C16" s="4"/>
    </row>
    <row r="17" spans="1:4" x14ac:dyDescent="0.3">
      <c r="A17" s="47" t="s">
        <v>52</v>
      </c>
      <c r="B17" s="48">
        <f>(B7*0.85)+SUM(B8:B15)</f>
        <v>0</v>
      </c>
      <c r="C17" s="4"/>
    </row>
    <row r="18" spans="1:4" x14ac:dyDescent="0.3">
      <c r="A18" t="s">
        <v>6</v>
      </c>
      <c r="B18" s="8">
        <f>G10</f>
        <v>0</v>
      </c>
      <c r="C18" s="4"/>
    </row>
    <row r="19" spans="1:4" x14ac:dyDescent="0.3">
      <c r="A19" t="s">
        <v>42</v>
      </c>
      <c r="B19" s="8" t="str">
        <f>IF(B16=0, "", IF(B16-B18-B20&lt;G9, 0.2*SUM(B12:B13), 0))</f>
        <v/>
      </c>
      <c r="C19" s="4"/>
    </row>
    <row r="20" spans="1:4" x14ac:dyDescent="0.3">
      <c r="A20" t="s">
        <v>5</v>
      </c>
      <c r="B20" s="8">
        <f>G11</f>
        <v>0</v>
      </c>
    </row>
    <row r="21" spans="1:4" ht="15" thickBot="1" x14ac:dyDescent="0.35">
      <c r="A21" s="33" t="s">
        <v>33</v>
      </c>
      <c r="B21" s="34">
        <f>B17-SUM(B18:B20)</f>
        <v>0</v>
      </c>
      <c r="C21" s="5"/>
    </row>
    <row r="22" spans="1:4" ht="6" customHeight="1" x14ac:dyDescent="0.3">
      <c r="A22" s="2"/>
      <c r="B22" s="9"/>
      <c r="C22" s="5"/>
    </row>
    <row r="23" spans="1:4" x14ac:dyDescent="0.3">
      <c r="A23" t="s">
        <v>30</v>
      </c>
      <c r="B23" s="8" t="str">
        <f>IF(B3="", "", IF(B21&gt;G3, "", G3-B21))</f>
        <v/>
      </c>
      <c r="C23" s="4"/>
    </row>
    <row r="24" spans="1:4" x14ac:dyDescent="0.3">
      <c r="A24" t="s">
        <v>31</v>
      </c>
      <c r="B24" s="8" t="str">
        <f>IF(B3="", "", IF(B21&gt;G4, "", G4-B21))</f>
        <v/>
      </c>
      <c r="C24" s="4"/>
    </row>
    <row r="25" spans="1:4" x14ac:dyDescent="0.3">
      <c r="A25" s="20" t="s">
        <v>32</v>
      </c>
      <c r="B25" s="28" t="str">
        <f>IF(B3="", "", IF(B21&gt;G5, "", G5-B21))</f>
        <v/>
      </c>
      <c r="C25" s="5"/>
    </row>
    <row r="26" spans="1:4" x14ac:dyDescent="0.3">
      <c r="A26" t="s">
        <v>39</v>
      </c>
      <c r="B26" s="10" t="str">
        <f>IF(B3="", "", IF(B4=H13, "", IF(SUM(B7:B15)&gt;G6*1.02, "", G6*1.02-SUM(B7:B15))))</f>
        <v/>
      </c>
    </row>
    <row r="27" spans="1:4" x14ac:dyDescent="0.3">
      <c r="A27" s="20" t="s">
        <v>28</v>
      </c>
      <c r="B27" s="29" t="str">
        <f>IF(B3="","",IF(B7="","",IF(B35&gt;=G7,"",G7-B35)))</f>
        <v/>
      </c>
    </row>
    <row r="28" spans="1:4" ht="15" thickBot="1" x14ac:dyDescent="0.35">
      <c r="A28" s="20" t="s">
        <v>29</v>
      </c>
      <c r="B28" s="29" t="str">
        <f>IF(B3="", "", IF(B7="", "", IF(B35&gt;G8, "",G8- B35)))</f>
        <v/>
      </c>
    </row>
    <row r="29" spans="1:4" ht="15" thickBot="1" x14ac:dyDescent="0.35">
      <c r="A29" s="66" t="s">
        <v>38</v>
      </c>
      <c r="B29" s="67">
        <f>IF(B7=0, ROUNDDOWN(MIN(B23:B26), -2.5), IF(E44="No", ROUNDDOWN(B27, -2.5), IF(B44="No", ROUNDDOWN(B28, -2.5), ROUNDDOWN(MIN(B24:B26), -2.5))))</f>
        <v>0</v>
      </c>
      <c r="C29" s="52" t="str">
        <f>IF(MIN(B23:B28)&lt;B29, "OR", "")</f>
        <v/>
      </c>
      <c r="D29" s="63" t="str">
        <f>IF(C29="OR", ROUNDDOWN(MIN(B23:B28), -2.5), "")</f>
        <v/>
      </c>
    </row>
    <row r="30" spans="1:4" x14ac:dyDescent="0.3">
      <c r="A30" s="20"/>
      <c r="B30" s="10"/>
      <c r="C30" s="20"/>
      <c r="D30" s="64" t="str">
        <f>IF(D29="", "", "If no savings/investment account")</f>
        <v/>
      </c>
    </row>
    <row r="31" spans="1:4" ht="18.600000000000001" thickBot="1" x14ac:dyDescent="0.4">
      <c r="A31" s="3" t="s">
        <v>1</v>
      </c>
      <c r="B31" s="10"/>
      <c r="C31" s="20"/>
      <c r="D31" s="65" t="str">
        <f>IF(D30="", "", "to pay the conversion tax.")</f>
        <v/>
      </c>
    </row>
    <row r="32" spans="1:4" x14ac:dyDescent="0.3">
      <c r="A32" t="s">
        <v>0</v>
      </c>
      <c r="B32" s="8">
        <f>B7</f>
        <v>0</v>
      </c>
      <c r="C32" s="6"/>
    </row>
    <row r="33" spans="1:6" x14ac:dyDescent="0.3">
      <c r="A33" t="s">
        <v>4</v>
      </c>
      <c r="B33" s="8">
        <f>B39</f>
        <v>0</v>
      </c>
      <c r="C33" s="4"/>
      <c r="D33" s="59" t="s">
        <v>62</v>
      </c>
      <c r="E33" s="60">
        <f>IF(B29=0, 0, IF(B21+B29&lt;G3, 0.1*B29, IF(B29+B21&lt;G4, 0.12*B29, IF(B21+B29&lt;=G5, 0.22*B29, "Don't convert"))))</f>
        <v>0</v>
      </c>
    </row>
    <row r="34" spans="1:6" x14ac:dyDescent="0.3">
      <c r="A34" t="s">
        <v>50</v>
      </c>
      <c r="B34" s="8">
        <f>SUM(B8:B15)</f>
        <v>0</v>
      </c>
      <c r="C34" s="4"/>
      <c r="D34" s="61" t="str">
        <f>IF(D29="", "", "Expected Fed Tax Due on Alt:")</f>
        <v/>
      </c>
      <c r="E34" s="62" t="str">
        <f>IF(D29="", "", IF(B21+D29&lt;G3, 0.1*D29, IF(D29+B21&lt;G4, 0.12*D29, IF(B21+D29&lt;G5, 0.22*D29))))</f>
        <v/>
      </c>
    </row>
    <row r="35" spans="1:6" ht="15" thickBot="1" x14ac:dyDescent="0.35">
      <c r="A35" s="33" t="s">
        <v>2</v>
      </c>
      <c r="B35" s="34">
        <f>B33+B34</f>
        <v>0</v>
      </c>
      <c r="C35" s="4"/>
    </row>
    <row r="36" spans="1:6" ht="6" customHeight="1" x14ac:dyDescent="0.3"/>
    <row r="37" spans="1:6" x14ac:dyDescent="0.3">
      <c r="A37" s="46" t="s">
        <v>37</v>
      </c>
      <c r="B37" s="45"/>
      <c r="C37" s="2"/>
      <c r="D37" s="46" t="s">
        <v>53</v>
      </c>
      <c r="E37" s="46"/>
      <c r="F37" s="46"/>
    </row>
    <row r="38" spans="1:6" x14ac:dyDescent="0.3">
      <c r="A38" t="s">
        <v>3</v>
      </c>
      <c r="B38" s="30">
        <f>(0.85*B7)</f>
        <v>0</v>
      </c>
      <c r="D38" t="s">
        <v>54</v>
      </c>
      <c r="E38" s="10" t="str">
        <f>IF(B7="","",IF(SUM(B27:B28)=0,"",IF(B27="", 0, IF(B44="Yes", B24-B27, B28-B27))))</f>
        <v/>
      </c>
    </row>
    <row r="39" spans="1:6" x14ac:dyDescent="0.3">
      <c r="A39" t="s">
        <v>4</v>
      </c>
      <c r="B39" s="30">
        <f>(0.5*B7)</f>
        <v>0</v>
      </c>
      <c r="D39" t="s">
        <v>60</v>
      </c>
      <c r="E39" s="10" t="str">
        <f>IF(B7="", "", IF(E38=0, "", IF(E38="", "", 0.12*B39)))</f>
        <v/>
      </c>
    </row>
    <row r="40" spans="1:6" x14ac:dyDescent="0.3">
      <c r="A40" t="s">
        <v>9</v>
      </c>
      <c r="B40" s="21">
        <f>SUM(B38-B39)</f>
        <v>0</v>
      </c>
      <c r="D40" t="s">
        <v>55</v>
      </c>
      <c r="E40" s="54" t="str">
        <f>IF(B7="", "", IF(E38=0, "", IF(E38="", "", IF(B44="Yes", E39/(B24-B27), IF(B44="No", E39/E38)))))</f>
        <v/>
      </c>
    </row>
    <row r="41" spans="1:6" x14ac:dyDescent="0.3">
      <c r="A41" t="s">
        <v>10</v>
      </c>
      <c r="B41" s="21">
        <f>SUM(0.12*B40)</f>
        <v>0</v>
      </c>
      <c r="D41" t="s">
        <v>56</v>
      </c>
      <c r="E41" s="51" t="str">
        <f>IF(B3="", "", IF(B7="", "",IF(E38=0, "", IF(E38="", "", E13-E40))))</f>
        <v/>
      </c>
    </row>
    <row r="42" spans="1:6" x14ac:dyDescent="0.3">
      <c r="A42" t="s">
        <v>11</v>
      </c>
      <c r="B42" s="31" t="str">
        <f>IF(B3="", "", IF(B21&gt;G4, 0, B41/B24))</f>
        <v/>
      </c>
    </row>
    <row r="43" spans="1:6" x14ac:dyDescent="0.3">
      <c r="A43" t="s">
        <v>57</v>
      </c>
      <c r="B43" s="32" t="str">
        <f>IF(B42="", "", E13-B42)</f>
        <v/>
      </c>
    </row>
    <row r="44" spans="1:6" x14ac:dyDescent="0.3">
      <c r="A44" s="49" t="str">
        <f>IF(B44="", "", "Worth it to do Top of 12% Bracket instead of Top of 50% SS tax level:")</f>
        <v/>
      </c>
      <c r="B44" s="50" t="str">
        <f>IF(SUM(B27:B28)=0, "", IF(B43&lt;0, "No", "Yes"))</f>
        <v/>
      </c>
      <c r="D44" s="2" t="str">
        <f>IF(E44="", "", "Worth it to Pay tax on 50% of SS?")</f>
        <v/>
      </c>
      <c r="E44" s="52" t="str">
        <f>IF(B7="", "", IF(E41="", "", IF(E41&lt;0,"No",IF(E41&gt;0,"Yes",""))))</f>
        <v/>
      </c>
    </row>
    <row r="45" spans="1:6" ht="4.2" customHeight="1" x14ac:dyDescent="0.3"/>
  </sheetData>
  <sheetProtection algorithmName="SHA-512" hashValue="ZoqCHQTVK1L2zZ1iQtCqeL9IPUP8VeupFA4svtHqJMrXuUusOuzeTTKrZKBwqhP7bP/X1GbZWphP1ZMyq2Llfw==" saltValue="mVdPblHeQdwqGxIm7SOzmg==" spinCount="100000" sheet="1" objects="1" scenarios="1"/>
  <dataValidations xWindow="670" yWindow="461" count="4">
    <dataValidation type="list" allowBlank="1" showInputMessage="1" showErrorMessage="1" sqref="B4:B5">
      <formula1>$H$10:$H$13</formula1>
    </dataValidation>
    <dataValidation type="list" allowBlank="1" showInputMessage="1" showErrorMessage="1" sqref="B3">
      <formula1>$D$2:$F$2</formula1>
    </dataValidation>
    <dataValidation type="whole" allowBlank="1" showInputMessage="1" showErrorMessage="1" errorTitle="$ Dollars!" error="The figure input needs to be in annual dollars. " promptTitle="Annual Dollar Amount" prompt="$" sqref="B7:B10 B12:B15">
      <formula1>0</formula1>
      <formula2>1000000</formula2>
    </dataValidation>
    <dataValidation type="whole" allowBlank="1" showInputMessage="1" showErrorMessage="1" errorTitle="$ Dollars!" error="The figure input needs to be in annual dollars. " promptTitle="Annual Dollar Amount" prompt="$" sqref="B11">
      <formula1>-3000</formula1>
      <formula2>1000000</formula2>
    </dataValidation>
  </dataValidations>
  <pageMargins left="0.7" right="0.7" top="1.31375" bottom="0.75" header="0.3" footer="0.3"/>
  <pageSetup scale="69" orientation="portrait" r:id="rId1"/>
  <headerFooter>
    <oddHeader>&amp;C&amp;8
&amp;G</oddHeader>
    <oddFooter>&amp;C&amp;D</oddFoot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Roth Conversion</vt:lpstr>
      <vt:lpstr>'Roth Conversion'!Print_Area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Pereira</dc:creator>
  <cp:lastModifiedBy>Adam Sommers</cp:lastModifiedBy>
  <cp:lastPrinted>2021-03-08T18:16:57Z</cp:lastPrinted>
  <dcterms:created xsi:type="dcterms:W3CDTF">2020-11-02T22:43:40Z</dcterms:created>
  <dcterms:modified xsi:type="dcterms:W3CDTF">2021-03-08T18:23:00Z</dcterms:modified>
</cp:coreProperties>
</file>