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eresamorrison/Documents/Beckett/FinPlanning/"/>
    </mc:Choice>
  </mc:AlternateContent>
  <xr:revisionPtr revIDLastSave="0" documentId="13_ncr:1_{03EA2CFA-8942-5C43-A0CA-E59E909E0ADC}" xr6:coauthVersionLast="45" xr6:coauthVersionMax="45" xr10:uidLastSave="{00000000-0000-0000-0000-000000000000}"/>
  <bookViews>
    <workbookView xWindow="1820" yWindow="820" windowWidth="22780" windowHeight="14800" activeTab="1" xr2:uid="{E1E83F6F-F48F-4C05-86E9-5ADE77B247B9}"/>
  </bookViews>
  <sheets>
    <sheet name="Data" sheetId="2" r:id="rId1"/>
    <sheet name="Charts" sheetId="3" r:id="rId2"/>
  </sheets>
  <definedNames>
    <definedName name="_xlchart.v1.0" hidden="1">Data!$L$27:$L$56</definedName>
    <definedName name="_xlchart.v1.1" hidden="1">Data!$L$27:$L$56</definedName>
    <definedName name="_xlchart.v1.2" hidden="1">Data!$L$27:$L$56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7" i="2" l="1"/>
  <c r="W27" i="2"/>
  <c r="N27" i="2"/>
  <c r="S27" i="2" l="1"/>
  <c r="Q28" i="2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B7" i="2"/>
  <c r="M27" i="2" s="1"/>
  <c r="L27" i="2"/>
  <c r="V27" i="2" s="1"/>
  <c r="B12" i="2" l="1"/>
  <c r="I28" i="2"/>
  <c r="M28" i="2"/>
  <c r="M29" i="2" s="1"/>
  <c r="M30" i="2" s="1"/>
  <c r="M31" i="2" s="1"/>
  <c r="M32" i="2" s="1"/>
  <c r="M33" i="2" s="1"/>
  <c r="M34" i="2" s="1"/>
  <c r="M35" i="2" s="1"/>
  <c r="M36" i="2" s="1"/>
  <c r="G28" i="2"/>
  <c r="H28" i="2"/>
  <c r="F27" i="2" l="1"/>
  <c r="C33" i="2" s="1"/>
  <c r="B5" i="2"/>
  <c r="P28" i="2" s="1"/>
  <c r="M37" i="2"/>
  <c r="M38" i="2" s="1"/>
  <c r="M39" i="2" s="1"/>
  <c r="M40" i="2" s="1"/>
  <c r="M41" i="2" s="1"/>
  <c r="M42" i="2" s="1"/>
  <c r="M43" i="2" s="1"/>
  <c r="M44" i="2" s="1"/>
  <c r="M45" i="2" s="1"/>
  <c r="M46" i="2" s="1"/>
  <c r="K37" i="2"/>
  <c r="G29" i="2"/>
  <c r="H29" i="2"/>
  <c r="I29" i="2"/>
  <c r="C47" i="2" l="1"/>
  <c r="C43" i="2"/>
  <c r="C45" i="2"/>
  <c r="C38" i="2"/>
  <c r="C40" i="2"/>
  <c r="C48" i="2"/>
  <c r="C53" i="2"/>
  <c r="C42" i="2"/>
  <c r="D28" i="2"/>
  <c r="C49" i="2"/>
  <c r="C54" i="2"/>
  <c r="C57" i="2"/>
  <c r="C35" i="2"/>
  <c r="C29" i="2"/>
  <c r="C34" i="2"/>
  <c r="C28" i="2"/>
  <c r="C36" i="2"/>
  <c r="C56" i="2"/>
  <c r="C31" i="2"/>
  <c r="C41" i="2"/>
  <c r="C55" i="2"/>
  <c r="C39" i="2"/>
  <c r="P29" i="2"/>
  <c r="R28" i="2"/>
  <c r="T28" i="2" s="1"/>
  <c r="C52" i="2"/>
  <c r="C51" i="2"/>
  <c r="C37" i="2"/>
  <c r="C50" i="2"/>
  <c r="C30" i="2"/>
  <c r="C46" i="2"/>
  <c r="C32" i="2"/>
  <c r="C44" i="2"/>
  <c r="M47" i="2"/>
  <c r="M48" i="2" s="1"/>
  <c r="M49" i="2" s="1"/>
  <c r="M50" i="2" s="1"/>
  <c r="M51" i="2" s="1"/>
  <c r="M52" i="2" s="1"/>
  <c r="M53" i="2" s="1"/>
  <c r="M54" i="2" s="1"/>
  <c r="M55" i="2" s="1"/>
  <c r="M56" i="2" s="1"/>
  <c r="K47" i="2"/>
  <c r="H30" i="2"/>
  <c r="G30" i="2"/>
  <c r="I30" i="2"/>
  <c r="E28" i="2" l="1"/>
  <c r="F28" i="2" s="1"/>
  <c r="D29" i="2" s="1"/>
  <c r="J29" i="2" s="1"/>
  <c r="L29" i="2" s="1"/>
  <c r="J28" i="2"/>
  <c r="L28" i="2" s="1"/>
  <c r="P30" i="2"/>
  <c r="R29" i="2"/>
  <c r="T29" i="2" s="1"/>
  <c r="M57" i="2"/>
  <c r="K57" i="2"/>
  <c r="G31" i="2"/>
  <c r="H31" i="2"/>
  <c r="I31" i="2"/>
  <c r="T30" i="2" l="1"/>
  <c r="V28" i="2"/>
  <c r="N28" i="2"/>
  <c r="N29" i="2" s="1"/>
  <c r="E29" i="2"/>
  <c r="F29" i="2" s="1"/>
  <c r="D30" i="2" s="1"/>
  <c r="J30" i="2" s="1"/>
  <c r="L30" i="2" s="1"/>
  <c r="V29" i="2"/>
  <c r="P31" i="2"/>
  <c r="R30" i="2"/>
  <c r="G32" i="2"/>
  <c r="I32" i="2"/>
  <c r="H32" i="2"/>
  <c r="T31" i="2" l="1"/>
  <c r="N30" i="2"/>
  <c r="S28" i="2"/>
  <c r="S29" i="2" s="1"/>
  <c r="W28" i="2"/>
  <c r="W29" i="2" s="1"/>
  <c r="V30" i="2"/>
  <c r="E30" i="2"/>
  <c r="F30" i="2" s="1"/>
  <c r="D31" i="2" s="1"/>
  <c r="J31" i="2" s="1"/>
  <c r="L31" i="2" s="1"/>
  <c r="R31" i="2"/>
  <c r="P32" i="2"/>
  <c r="I33" i="2"/>
  <c r="G33" i="2"/>
  <c r="H33" i="2"/>
  <c r="W30" i="2" l="1"/>
  <c r="N31" i="2"/>
  <c r="S30" i="2"/>
  <c r="E31" i="2"/>
  <c r="F31" i="2" s="1"/>
  <c r="D32" i="2" s="1"/>
  <c r="E32" i="2" s="1"/>
  <c r="F32" i="2" s="1"/>
  <c r="D33" i="2" s="1"/>
  <c r="V31" i="2"/>
  <c r="R32" i="2"/>
  <c r="T32" i="2" s="1"/>
  <c r="P33" i="2"/>
  <c r="H34" i="2"/>
  <c r="I34" i="2"/>
  <c r="G34" i="2"/>
  <c r="N32" i="2" l="1"/>
  <c r="S31" i="2"/>
  <c r="W31" i="2"/>
  <c r="J32" i="2"/>
  <c r="L32" i="2" s="1"/>
  <c r="V32" i="2" s="1"/>
  <c r="J33" i="2"/>
  <c r="L33" i="2" s="1"/>
  <c r="E33" i="2"/>
  <c r="F33" i="2" s="1"/>
  <c r="D34" i="2" s="1"/>
  <c r="E34" i="2" s="1"/>
  <c r="F34" i="2" s="1"/>
  <c r="D35" i="2" s="1"/>
  <c r="R33" i="2"/>
  <c r="T33" i="2" s="1"/>
  <c r="P34" i="2"/>
  <c r="H35" i="2"/>
  <c r="G35" i="2"/>
  <c r="I35" i="2"/>
  <c r="T34" i="2" l="1"/>
  <c r="N33" i="2"/>
  <c r="N34" i="2" s="1"/>
  <c r="N35" i="2" s="1"/>
  <c r="S32" i="2"/>
  <c r="W32" i="2"/>
  <c r="W33" i="2" s="1"/>
  <c r="J34" i="2"/>
  <c r="L34" i="2" s="1"/>
  <c r="V33" i="2"/>
  <c r="R34" i="2"/>
  <c r="P35" i="2"/>
  <c r="H36" i="2"/>
  <c r="I36" i="2"/>
  <c r="G36" i="2"/>
  <c r="E35" i="2"/>
  <c r="F35" i="2" s="1"/>
  <c r="J35" i="2"/>
  <c r="L35" i="2" s="1"/>
  <c r="S33" i="2" l="1"/>
  <c r="V34" i="2"/>
  <c r="S34" i="2" s="1"/>
  <c r="R35" i="2"/>
  <c r="V35" i="2" s="1"/>
  <c r="P36" i="2"/>
  <c r="H37" i="2"/>
  <c r="G37" i="2"/>
  <c r="I37" i="2"/>
  <c r="D36" i="2"/>
  <c r="T35" i="2" l="1"/>
  <c r="W34" i="2"/>
  <c r="W35" i="2" s="1"/>
  <c r="S35" i="2"/>
  <c r="R36" i="2"/>
  <c r="P37" i="2"/>
  <c r="H38" i="2"/>
  <c r="G38" i="2"/>
  <c r="I38" i="2"/>
  <c r="E36" i="2"/>
  <c r="F36" i="2" s="1"/>
  <c r="D37" i="2" s="1"/>
  <c r="J36" i="2"/>
  <c r="L36" i="2" s="1"/>
  <c r="N36" i="2" s="1"/>
  <c r="T36" i="2" l="1"/>
  <c r="T37" i="2" s="1"/>
  <c r="V36" i="2"/>
  <c r="S36" i="2" s="1"/>
  <c r="R37" i="2"/>
  <c r="P38" i="2"/>
  <c r="I39" i="2"/>
  <c r="H39" i="2"/>
  <c r="G39" i="2"/>
  <c r="E37" i="2"/>
  <c r="F37" i="2" s="1"/>
  <c r="J37" i="2"/>
  <c r="L37" i="2" s="1"/>
  <c r="N37" i="2" s="1"/>
  <c r="W36" i="2" l="1"/>
  <c r="V37" i="2"/>
  <c r="S37" i="2" s="1"/>
  <c r="P39" i="2"/>
  <c r="R38" i="2"/>
  <c r="T38" i="2" s="1"/>
  <c r="H40" i="2"/>
  <c r="I40" i="2"/>
  <c r="G40" i="2"/>
  <c r="D38" i="2"/>
  <c r="W37" i="2" l="1"/>
  <c r="P40" i="2"/>
  <c r="R39" i="2"/>
  <c r="T39" i="2" s="1"/>
  <c r="I41" i="2"/>
  <c r="H41" i="2"/>
  <c r="G41" i="2"/>
  <c r="E38" i="2"/>
  <c r="F38" i="2" s="1"/>
  <c r="J38" i="2"/>
  <c r="L38" i="2" s="1"/>
  <c r="V38" i="2" l="1"/>
  <c r="N38" i="2"/>
  <c r="R40" i="2"/>
  <c r="T40" i="2" s="1"/>
  <c r="P41" i="2"/>
  <c r="G42" i="2"/>
  <c r="I42" i="2"/>
  <c r="H42" i="2"/>
  <c r="D39" i="2"/>
  <c r="S38" i="2" l="1"/>
  <c r="W38" i="2"/>
  <c r="P42" i="2"/>
  <c r="R41" i="2"/>
  <c r="T41" i="2" s="1"/>
  <c r="H43" i="2"/>
  <c r="I43" i="2"/>
  <c r="G43" i="2"/>
  <c r="E39" i="2"/>
  <c r="F39" i="2" s="1"/>
  <c r="J39" i="2"/>
  <c r="L39" i="2" s="1"/>
  <c r="V39" i="2" s="1"/>
  <c r="S39" i="2" s="1"/>
  <c r="W39" i="2" l="1"/>
  <c r="N39" i="2"/>
  <c r="R42" i="2"/>
  <c r="T42" i="2" s="1"/>
  <c r="P43" i="2"/>
  <c r="I44" i="2"/>
  <c r="H44" i="2"/>
  <c r="G44" i="2"/>
  <c r="D40" i="2"/>
  <c r="R43" i="2" l="1"/>
  <c r="T43" i="2" s="1"/>
  <c r="P44" i="2"/>
  <c r="H45" i="2"/>
  <c r="G45" i="2"/>
  <c r="I45" i="2"/>
  <c r="E40" i="2"/>
  <c r="F40" i="2" s="1"/>
  <c r="J40" i="2"/>
  <c r="L40" i="2" s="1"/>
  <c r="V40" i="2" s="1"/>
  <c r="S40" i="2" s="1"/>
  <c r="W40" i="2" l="1"/>
  <c r="N40" i="2"/>
  <c r="P45" i="2"/>
  <c r="R44" i="2"/>
  <c r="T44" i="2" s="1"/>
  <c r="G46" i="2"/>
  <c r="I46" i="2"/>
  <c r="H46" i="2"/>
  <c r="D41" i="2"/>
  <c r="T45" i="2" l="1"/>
  <c r="R45" i="2"/>
  <c r="P46" i="2"/>
  <c r="I47" i="2"/>
  <c r="G47" i="2"/>
  <c r="H47" i="2"/>
  <c r="E41" i="2"/>
  <c r="F41" i="2" s="1"/>
  <c r="D42" i="2" s="1"/>
  <c r="J41" i="2"/>
  <c r="L41" i="2" s="1"/>
  <c r="V41" i="2" s="1"/>
  <c r="S41" i="2" s="1"/>
  <c r="W41" i="2" l="1"/>
  <c r="T46" i="2"/>
  <c r="N41" i="2"/>
  <c r="N42" i="2" s="1"/>
  <c r="P47" i="2"/>
  <c r="R46" i="2"/>
  <c r="G48" i="2"/>
  <c r="I48" i="2"/>
  <c r="H48" i="2"/>
  <c r="E42" i="2"/>
  <c r="F42" i="2" s="1"/>
  <c r="D43" i="2" s="1"/>
  <c r="J42" i="2"/>
  <c r="L42" i="2" s="1"/>
  <c r="V42" i="2" s="1"/>
  <c r="S42" i="2" s="1"/>
  <c r="T47" i="2" l="1"/>
  <c r="W42" i="2"/>
  <c r="W43" i="2" s="1"/>
  <c r="R47" i="2"/>
  <c r="P48" i="2"/>
  <c r="I49" i="2"/>
  <c r="H49" i="2"/>
  <c r="G49" i="2"/>
  <c r="J43" i="2"/>
  <c r="L43" i="2" s="1"/>
  <c r="V43" i="2" s="1"/>
  <c r="S43" i="2" s="1"/>
  <c r="E43" i="2"/>
  <c r="F43" i="2" s="1"/>
  <c r="N43" i="2" l="1"/>
  <c r="P49" i="2"/>
  <c r="R48" i="2"/>
  <c r="T48" i="2" s="1"/>
  <c r="H50" i="2"/>
  <c r="G50" i="2"/>
  <c r="I50" i="2"/>
  <c r="D44" i="2"/>
  <c r="P50" i="2" l="1"/>
  <c r="R49" i="2"/>
  <c r="T49" i="2" s="1"/>
  <c r="H51" i="2"/>
  <c r="G51" i="2"/>
  <c r="I51" i="2"/>
  <c r="J44" i="2"/>
  <c r="L44" i="2" s="1"/>
  <c r="V44" i="2" s="1"/>
  <c r="E44" i="2"/>
  <c r="F44" i="2" s="1"/>
  <c r="D45" i="2" s="1"/>
  <c r="S44" i="2" l="1"/>
  <c r="W44" i="2"/>
  <c r="N44" i="2"/>
  <c r="P51" i="2"/>
  <c r="R50" i="2"/>
  <c r="T50" i="2" s="1"/>
  <c r="G52" i="2"/>
  <c r="H52" i="2"/>
  <c r="I52" i="2"/>
  <c r="E45" i="2"/>
  <c r="F45" i="2" s="1"/>
  <c r="D46" i="2" s="1"/>
  <c r="J45" i="2"/>
  <c r="L45" i="2" s="1"/>
  <c r="V45" i="2" s="1"/>
  <c r="S45" i="2" l="1"/>
  <c r="N45" i="2"/>
  <c r="W45" i="2"/>
  <c r="R51" i="2"/>
  <c r="T51" i="2" s="1"/>
  <c r="P52" i="2"/>
  <c r="I53" i="2"/>
  <c r="H53" i="2"/>
  <c r="G53" i="2"/>
  <c r="E46" i="2"/>
  <c r="F46" i="2" s="1"/>
  <c r="D47" i="2" s="1"/>
  <c r="J46" i="2"/>
  <c r="L46" i="2" s="1"/>
  <c r="V46" i="2" s="1"/>
  <c r="S46" i="2" s="1"/>
  <c r="W46" i="2" l="1"/>
  <c r="W47" i="2" s="1"/>
  <c r="N46" i="2"/>
  <c r="N47" i="2" s="1"/>
  <c r="P53" i="2"/>
  <c r="R52" i="2"/>
  <c r="T52" i="2" s="1"/>
  <c r="G54" i="2"/>
  <c r="H54" i="2"/>
  <c r="I54" i="2"/>
  <c r="E47" i="2"/>
  <c r="F47" i="2" s="1"/>
  <c r="D48" i="2" s="1"/>
  <c r="J47" i="2"/>
  <c r="L47" i="2" s="1"/>
  <c r="V47" i="2" s="1"/>
  <c r="S47" i="2" s="1"/>
  <c r="P54" i="2" l="1"/>
  <c r="R53" i="2"/>
  <c r="T53" i="2" s="1"/>
  <c r="G55" i="2"/>
  <c r="H55" i="2"/>
  <c r="I55" i="2"/>
  <c r="E48" i="2"/>
  <c r="F48" i="2" s="1"/>
  <c r="D49" i="2" s="1"/>
  <c r="J48" i="2"/>
  <c r="L48" i="2" s="1"/>
  <c r="V48" i="2" s="1"/>
  <c r="S48" i="2" s="1"/>
  <c r="W48" i="2" l="1"/>
  <c r="N48" i="2"/>
  <c r="N49" i="2" s="1"/>
  <c r="P55" i="2"/>
  <c r="R54" i="2"/>
  <c r="T54" i="2" s="1"/>
  <c r="G56" i="2"/>
  <c r="I56" i="2"/>
  <c r="H56" i="2"/>
  <c r="E49" i="2"/>
  <c r="F49" i="2" s="1"/>
  <c r="D50" i="2" s="1"/>
  <c r="J49" i="2"/>
  <c r="L49" i="2" s="1"/>
  <c r="V49" i="2" s="1"/>
  <c r="S49" i="2" s="1"/>
  <c r="W49" i="2" l="1"/>
  <c r="R55" i="2"/>
  <c r="T55" i="2" s="1"/>
  <c r="P56" i="2"/>
  <c r="I57" i="2"/>
  <c r="G57" i="2"/>
  <c r="H57" i="2"/>
  <c r="E50" i="2"/>
  <c r="F50" i="2" s="1"/>
  <c r="J50" i="2"/>
  <c r="L50" i="2" s="1"/>
  <c r="V50" i="2" s="1"/>
  <c r="S50" i="2" s="1"/>
  <c r="W50" i="2" l="1"/>
  <c r="N50" i="2"/>
  <c r="R56" i="2"/>
  <c r="T56" i="2" s="1"/>
  <c r="P57" i="2"/>
  <c r="D51" i="2"/>
  <c r="E51" i="2" l="1"/>
  <c r="F51" i="2" s="1"/>
  <c r="J51" i="2"/>
  <c r="L51" i="2" s="1"/>
  <c r="V51" i="2" s="1"/>
  <c r="S51" i="2" l="1"/>
  <c r="W51" i="2"/>
  <c r="N51" i="2"/>
  <c r="D52" i="2"/>
  <c r="E52" i="2" l="1"/>
  <c r="F52" i="2" s="1"/>
  <c r="J52" i="2"/>
  <c r="L52" i="2" s="1"/>
  <c r="V52" i="2" s="1"/>
  <c r="S52" i="2" s="1"/>
  <c r="W52" i="2" l="1"/>
  <c r="N52" i="2"/>
  <c r="D53" i="2"/>
  <c r="E53" i="2" l="1"/>
  <c r="F53" i="2" s="1"/>
  <c r="J53" i="2"/>
  <c r="L53" i="2" s="1"/>
  <c r="V53" i="2" s="1"/>
  <c r="S53" i="2" l="1"/>
  <c r="W53" i="2"/>
  <c r="N53" i="2"/>
  <c r="D54" i="2"/>
  <c r="N54" i="2" l="1"/>
  <c r="E54" i="2"/>
  <c r="F54" i="2" s="1"/>
  <c r="D55" i="2" s="1"/>
  <c r="J54" i="2"/>
  <c r="L54" i="2" s="1"/>
  <c r="V54" i="2" s="1"/>
  <c r="S54" i="2" s="1"/>
  <c r="W54" i="2" l="1"/>
  <c r="N55" i="2"/>
  <c r="E55" i="2"/>
  <c r="F55" i="2" s="1"/>
  <c r="D56" i="2" s="1"/>
  <c r="J55" i="2"/>
  <c r="L55" i="2" s="1"/>
  <c r="V55" i="2" s="1"/>
  <c r="S55" i="2" s="1"/>
  <c r="N56" i="2" l="1"/>
  <c r="W55" i="2"/>
  <c r="W56" i="2" s="1"/>
  <c r="E56" i="2"/>
  <c r="F56" i="2" s="1"/>
  <c r="J56" i="2"/>
  <c r="L56" i="2" s="1"/>
  <c r="V56" i="2" s="1"/>
  <c r="S56" i="2" s="1"/>
  <c r="S57" i="2" s="1"/>
  <c r="D57" i="2" l="1"/>
  <c r="E57" i="2" l="1"/>
  <c r="F57" i="2" s="1"/>
  <c r="J57" i="2"/>
  <c r="L57" i="2" s="1"/>
  <c r="N57" i="2" s="1"/>
  <c r="L25" i="2" l="1"/>
  <c r="R57" i="2"/>
  <c r="R25" i="2" l="1"/>
  <c r="T57" i="2"/>
  <c r="V57" i="2"/>
  <c r="V25" i="2" l="1"/>
  <c r="W57" i="2"/>
</calcChain>
</file>

<file path=xl/sharedStrings.xml><?xml version="1.0" encoding="utf-8"?>
<sst xmlns="http://schemas.openxmlformats.org/spreadsheetml/2006/main" count="53" uniqueCount="48">
  <si>
    <t>Maintenance</t>
  </si>
  <si>
    <t>Insurance</t>
  </si>
  <si>
    <t>Case-Shiller 1987-2020</t>
  </si>
  <si>
    <t>Purchase Price</t>
  </si>
  <si>
    <t>Settlement Costs (Buyer)</t>
  </si>
  <si>
    <t>Mortgage</t>
  </si>
  <si>
    <t>Cash down</t>
  </si>
  <si>
    <t>Points</t>
  </si>
  <si>
    <t>Mortgage fees</t>
  </si>
  <si>
    <t>Income Tax rate</t>
  </si>
  <si>
    <t>Property Tax Rate</t>
  </si>
  <si>
    <t>Rent</t>
  </si>
  <si>
    <t>Rent Increase average</t>
  </si>
  <si>
    <t>CPI Inflation</t>
  </si>
  <si>
    <t>Rent p.m.</t>
  </si>
  <si>
    <t>Settlement Costs (Seller)</t>
  </si>
  <si>
    <t>Term (years)</t>
  </si>
  <si>
    <t>Payment</t>
  </si>
  <si>
    <t>Interest</t>
  </si>
  <si>
    <t>Principal</t>
  </si>
  <si>
    <t>Balance</t>
  </si>
  <si>
    <t>Prop Tax</t>
  </si>
  <si>
    <t>https://www.bankrate.com/mortgages/mortgage-rates/?pointsChanged=false&amp;searchChanged=true&amp;mortgageType=Refinance&amp;zipCode=85718&amp;partnerId=br3&amp;ttcid&amp;userCreditScore=740&amp;userVeteranStatus=NoMilitaryService&amp;userHadPriorVaLoan=false&amp;userHasVaDisabilities=false&amp;userFirstTimeHomebuyer=false&amp;userQuickClosing=false&amp;userFha=false&amp;userLowUpfrontCosts=false&amp;userLowPayment=false&amp;purchasePrice=380000&amp;purchaseDownPayment=76000&amp;purchasePropertyType=SingleFamily&amp;purchasePropertyUse=PrimaryResidence&amp;purchaseLoanTerms=30yr&amp;purchasePoints=All&amp;refinancePropertyValue=380000&amp;refinanceLoanAmount=304000&amp;refinancePropertyType=SingleFamily&amp;refinancePropertyUse=PrimaryResidence&amp;refinanceCashOutAmount=0&amp;refinancePoints=All&amp;refinanceLoanTerms=30yr</t>
  </si>
  <si>
    <t>Prop Value</t>
  </si>
  <si>
    <t>https://www.jchs.harvard.edu/sites/default/files/jchs_americas_rental_housing_2013_1_0.pdf</t>
  </si>
  <si>
    <t>https://en.wikipedia.org/wiki/Case–Shiller_index</t>
  </si>
  <si>
    <t>Cash Flow</t>
  </si>
  <si>
    <t>Interest Rate (NACA)</t>
  </si>
  <si>
    <t>Inc Tax Ded</t>
  </si>
  <si>
    <t>Repairs / 10-yr Updates</t>
  </si>
  <si>
    <t>new roof, a/c, kitchen, baths</t>
  </si>
  <si>
    <t>yard, paint, termite, misc.</t>
  </si>
  <si>
    <t>https://www.naic.org/Releases/2019_docs/naic_releases_homeowners_insurance_report.htm</t>
  </si>
  <si>
    <t>Equity : Debt ratio</t>
  </si>
  <si>
    <t>FRED CPI 1987-2019</t>
  </si>
  <si>
    <t>Repairs/upd</t>
  </si>
  <si>
    <t>included in Settlement %</t>
  </si>
  <si>
    <t>Buy v Rent</t>
  </si>
  <si>
    <t>Invest</t>
  </si>
  <si>
    <t>Market Invest return</t>
  </si>
  <si>
    <t>Tenant Insurance</t>
  </si>
  <si>
    <t>HO-3 Insurance</t>
  </si>
  <si>
    <t>https://www.spglobal.com/spdji/en/indices/indicators/sp-corelogic-case-shiller-10-city-composite-home-price-nsa-index/#overview</t>
  </si>
  <si>
    <t>Cum Cash Flow</t>
  </si>
  <si>
    <t>IRR: Buy</t>
  </si>
  <si>
    <t>IRR: Rent</t>
  </si>
  <si>
    <t>IRR:             Buy v Rent</t>
  </si>
  <si>
    <t>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</si>
</sst>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E9A4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/>
    <xf numFmtId="164" fontId="0" fillId="0" borderId="0" xfId="0" applyNumberFormat="1" applyAlignment="1">
      <alignment horizontal="left"/>
    </xf>
    <xf numFmtId="10" fontId="2" fillId="2" borderId="0" xfId="1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9" fontId="2" fillId="2" borderId="0" xfId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/>
    <xf numFmtId="10" fontId="2" fillId="2" borderId="0" xfId="0" applyNumberFormat="1" applyFont="1" applyFill="1"/>
    <xf numFmtId="9" fontId="2" fillId="2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8" fontId="0" fillId="0" borderId="0" xfId="0" applyNumberFormat="1"/>
    <xf numFmtId="0" fontId="0" fillId="0" borderId="2" xfId="0" applyBorder="1"/>
    <xf numFmtId="165" fontId="3" fillId="3" borderId="3" xfId="1" applyNumberFormat="1" applyFont="1" applyFill="1" applyBorder="1"/>
    <xf numFmtId="0" fontId="0" fillId="0" borderId="4" xfId="0" applyBorder="1"/>
    <xf numFmtId="0" fontId="0" fillId="0" borderId="3" xfId="0" applyBorder="1" applyAlignment="1">
      <alignment horizontal="center"/>
    </xf>
    <xf numFmtId="6" fontId="0" fillId="0" borderId="3" xfId="0" applyNumberFormat="1" applyBorder="1"/>
    <xf numFmtId="6" fontId="0" fillId="0" borderId="4" xfId="0" applyNumberFormat="1" applyBorder="1"/>
    <xf numFmtId="6" fontId="0" fillId="0" borderId="5" xfId="0" applyNumberFormat="1" applyBorder="1"/>
    <xf numFmtId="6" fontId="0" fillId="0" borderId="6" xfId="0" applyNumberFormat="1" applyBorder="1"/>
    <xf numFmtId="0" fontId="0" fillId="0" borderId="1" xfId="0" applyBorder="1"/>
    <xf numFmtId="0" fontId="0" fillId="0" borderId="7" xfId="0" applyBorder="1"/>
    <xf numFmtId="0" fontId="3" fillId="3" borderId="7" xfId="0" applyFont="1" applyFill="1" applyBorder="1"/>
    <xf numFmtId="0" fontId="0" fillId="0" borderId="3" xfId="0" applyBorder="1"/>
    <xf numFmtId="0" fontId="0" fillId="0" borderId="0" xfId="0" applyBorder="1"/>
    <xf numFmtId="165" fontId="3" fillId="3" borderId="0" xfId="1" applyNumberFormat="1" applyFont="1" applyFill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0" applyNumberFormat="1" applyBorder="1"/>
    <xf numFmtId="6" fontId="0" fillId="0" borderId="0" xfId="0" applyNumberFormat="1" applyBorder="1"/>
    <xf numFmtId="6" fontId="0" fillId="0" borderId="8" xfId="0" applyNumberFormat="1" applyBorder="1"/>
    <xf numFmtId="0" fontId="0" fillId="0" borderId="4" xfId="0" applyBorder="1" applyAlignment="1">
      <alignment horizontal="center" wrapText="1"/>
    </xf>
    <xf numFmtId="0" fontId="0" fillId="0" borderId="5" xfId="0" applyBorder="1"/>
    <xf numFmtId="164" fontId="0" fillId="0" borderId="8" xfId="0" applyNumberFormat="1" applyBorder="1"/>
    <xf numFmtId="0" fontId="3" fillId="3" borderId="1" xfId="0" applyFont="1" applyFill="1" applyBorder="1" applyAlignment="1">
      <alignment wrapText="1"/>
    </xf>
    <xf numFmtId="0" fontId="4" fillId="3" borderId="0" xfId="0" applyFont="1" applyFill="1"/>
    <xf numFmtId="0" fontId="0" fillId="3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9E9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Cumulative Cash</a:t>
            </a:r>
            <a:r>
              <a:rPr lang="en-US" b="1" baseline="0"/>
              <a:t> Flow: </a:t>
            </a:r>
          </a:p>
          <a:p>
            <a:pPr>
              <a:defRPr/>
            </a:pPr>
            <a:r>
              <a:rPr lang="en-US" baseline="0"/>
              <a:t>Buy  |  Rent  |  Buy vs Rent</a:t>
            </a:r>
            <a:endParaRPr lang="en-US"/>
          </a:p>
        </c:rich>
      </c:tx>
      <c:layout>
        <c:manualLayout>
          <c:xMode val="edge"/>
          <c:yMode val="edge"/>
          <c:x val="0.35872340425531912"/>
          <c:y val="3.768506056527590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Data!$N$27:$N$57</c:f>
              <c:numCache>
                <c:formatCode>"$"#,##0_);[Red]\("$"#,##0\)</c:formatCode>
                <c:ptCount val="31"/>
                <c:pt idx="0">
                  <c:v>-100000</c:v>
                </c:pt>
                <c:pt idx="1">
                  <c:v>-129721.08125153865</c:v>
                </c:pt>
                <c:pt idx="2">
                  <c:v>-159808.61991496198</c:v>
                </c:pt>
                <c:pt idx="3">
                  <c:v>-190273.40861874438</c:v>
                </c:pt>
                <c:pt idx="4">
                  <c:v>-221126.55811145913</c:v>
                </c:pt>
                <c:pt idx="5">
                  <c:v>-252379.50664679363</c:v>
                </c:pt>
                <c:pt idx="6">
                  <c:v>-284044.02964569151</c:v>
                </c:pt>
                <c:pt idx="7">
                  <c:v>-316132.24964381312</c:v>
                </c:pt>
                <c:pt idx="8">
                  <c:v>-348656.64653274789</c:v>
                </c:pt>
                <c:pt idx="9">
                  <c:v>-381630.06810366124</c:v>
                </c:pt>
                <c:pt idx="10">
                  <c:v>-447429.44430903328</c:v>
                </c:pt>
                <c:pt idx="11">
                  <c:v>-481340.98481139133</c:v>
                </c:pt>
                <c:pt idx="12">
                  <c:v>-515742.41092926939</c:v>
                </c:pt>
                <c:pt idx="13">
                  <c:v>-550648.15385580994</c:v>
                </c:pt>
                <c:pt idx="14">
                  <c:v>-586073.0702608102</c:v>
                </c:pt>
                <c:pt idx="15">
                  <c:v>-622032.45484625478</c:v>
                </c:pt>
                <c:pt idx="16">
                  <c:v>-658542.05327269924</c:v>
                </c:pt>
                <c:pt idx="17">
                  <c:v>-695618.07546747127</c:v>
                </c:pt>
                <c:pt idx="18">
                  <c:v>-733277.20932597737</c:v>
                </c:pt>
                <c:pt idx="19">
                  <c:v>-771536.63481773832</c:v>
                </c:pt>
                <c:pt idx="20">
                  <c:v>-853529.59486014186</c:v>
                </c:pt>
                <c:pt idx="21">
                  <c:v>-893043.18486611033</c:v>
                </c:pt>
                <c:pt idx="22">
                  <c:v>-933211.706243678</c:v>
                </c:pt>
                <c:pt idx="23">
                  <c:v>-974054.45684012806</c:v>
                </c:pt>
                <c:pt idx="24">
                  <c:v>-1015591.3036094473</c:v>
                </c:pt>
                <c:pt idx="25">
                  <c:v>-1057842.6994108211</c:v>
                </c:pt>
                <c:pt idx="26">
                  <c:v>-1100829.7003034439</c:v>
                </c:pt>
                <c:pt idx="27">
                  <c:v>-1144573.9833523275</c:v>
                </c:pt>
                <c:pt idx="28">
                  <c:v>-1189097.8649602165</c:v>
                </c:pt>
                <c:pt idx="29">
                  <c:v>-1234424.3197411732</c:v>
                </c:pt>
                <c:pt idx="30">
                  <c:v>-155798.97531355242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4-AE48-95D2-AC318FC1BA61}"/>
            </c:ext>
          </c:extLst>
        </c:ser>
        <c:ser>
          <c:idx val="5"/>
          <c:order val="1"/>
          <c:tx>
            <c:v>Rent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Data!$T$27:$T$57</c:f>
              <c:numCache>
                <c:formatCode>"$"#,##0_);[Red]\("$"#,##0\)</c:formatCode>
                <c:ptCount val="31"/>
                <c:pt idx="0">
                  <c:v>0</c:v>
                </c:pt>
                <c:pt idx="1">
                  <c:v>-25100</c:v>
                </c:pt>
                <c:pt idx="2">
                  <c:v>-50930.409999999996</c:v>
                </c:pt>
                <c:pt idx="3">
                  <c:v>-77512.484930999984</c:v>
                </c:pt>
                <c:pt idx="4">
                  <c:v>-104868.09824249208</c:v>
                </c:pt>
                <c:pt idx="5">
                  <c:v>-133019.75990134859</c:v>
                </c:pt>
                <c:pt idx="6">
                  <c:v>-161990.63491447782</c:v>
                </c:pt>
                <c:pt idx="7">
                  <c:v>-191804.5623904891</c:v>
                </c:pt>
                <c:pt idx="8">
                  <c:v>-222486.07515605231</c:v>
                </c:pt>
                <c:pt idx="9">
                  <c:v>-254060.41994309341</c:v>
                </c:pt>
                <c:pt idx="10">
                  <c:v>-286553.57816343743</c:v>
                </c:pt>
                <c:pt idx="11">
                  <c:v>-319992.28728799341</c:v>
                </c:pt>
                <c:pt idx="12">
                  <c:v>-354404.06284807401</c:v>
                </c:pt>
                <c:pt idx="13">
                  <c:v>-389817.22107695293</c:v>
                </c:pt>
                <c:pt idx="14">
                  <c:v>-426260.90221029223</c:v>
                </c:pt>
                <c:pt idx="15">
                  <c:v>-463765.09446461167</c:v>
                </c:pt>
                <c:pt idx="16">
                  <c:v>-502360.6587135318</c:v>
                </c:pt>
                <c:pt idx="17">
                  <c:v>-542079.35388209554</c:v>
                </c:pt>
                <c:pt idx="18">
                  <c:v>-582953.86308006442</c:v>
                </c:pt>
                <c:pt idx="19">
                  <c:v>-625017.82049569418</c:v>
                </c:pt>
                <c:pt idx="20">
                  <c:v>-668305.83907211886</c:v>
                </c:pt>
                <c:pt idx="21">
                  <c:v>-712853.53898911749</c:v>
                </c:pt>
                <c:pt idx="22">
                  <c:v>-758697.57697370078</c:v>
                </c:pt>
                <c:pt idx="23">
                  <c:v>-805875.67646363541</c:v>
                </c:pt>
                <c:pt idx="24">
                  <c:v>-854426.65864872711</c:v>
                </c:pt>
                <c:pt idx="25">
                  <c:v>-904390.47441540495</c:v>
                </c:pt>
                <c:pt idx="26">
                  <c:v>-955808.23722089315</c:v>
                </c:pt>
                <c:pt idx="27">
                  <c:v>-1008722.2569240211</c:v>
                </c:pt>
                <c:pt idx="28">
                  <c:v>-1063176.0746005101</c:v>
                </c:pt>
                <c:pt idx="29">
                  <c:v>-1119214.4983713848</c:v>
                </c:pt>
                <c:pt idx="30">
                  <c:v>-299235.26950756123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14-AE48-95D2-AC318FC1BA61}"/>
            </c:ext>
          </c:extLst>
        </c:ser>
        <c:ser>
          <c:idx val="8"/>
          <c:order val="2"/>
          <c:tx>
            <c:v>Buy vs Rent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Data!$W$27:$W$57</c:f>
              <c:numCache>
                <c:formatCode>"$"#,##0_);[Red]\("$"#,##0\)</c:formatCode>
                <c:ptCount val="31"/>
                <c:pt idx="0">
                  <c:v>-100000</c:v>
                </c:pt>
                <c:pt idx="1">
                  <c:v>-104621.08125153865</c:v>
                </c:pt>
                <c:pt idx="2">
                  <c:v>-108878.20991496199</c:v>
                </c:pt>
                <c:pt idx="3">
                  <c:v>-112760.92368774439</c:v>
                </c:pt>
                <c:pt idx="4">
                  <c:v>-116258.45986896707</c:v>
                </c:pt>
                <c:pt idx="5">
                  <c:v>-119359.74674544505</c:v>
                </c:pt>
                <c:pt idx="6">
                  <c:v>-122053.39473121369</c:v>
                </c:pt>
                <c:pt idx="7">
                  <c:v>-124327.68725332402</c:v>
                </c:pt>
                <c:pt idx="8">
                  <c:v>-126170.57137669562</c:v>
                </c:pt>
                <c:pt idx="9">
                  <c:v>-127569.64816056786</c:v>
                </c:pt>
                <c:pt idx="10">
                  <c:v>-160875.86614559591</c:v>
                </c:pt>
                <c:pt idx="11">
                  <c:v>-161348.69752339798</c:v>
                </c:pt>
                <c:pt idx="12">
                  <c:v>-161338.34808119549</c:v>
                </c:pt>
                <c:pt idx="13">
                  <c:v>-160830.93277885707</c:v>
                </c:pt>
                <c:pt idx="14">
                  <c:v>-159812.16805051808</c:v>
                </c:pt>
                <c:pt idx="15">
                  <c:v>-158267.36038164317</c:v>
                </c:pt>
                <c:pt idx="16">
                  <c:v>-156181.39455916744</c:v>
                </c:pt>
                <c:pt idx="17">
                  <c:v>-153538.72158537572</c:v>
                </c:pt>
                <c:pt idx="18">
                  <c:v>-150323.34624591286</c:v>
                </c:pt>
                <c:pt idx="19">
                  <c:v>-146518.81432204397</c:v>
                </c:pt>
                <c:pt idx="20">
                  <c:v>-185223.75578802291</c:v>
                </c:pt>
                <c:pt idx="21">
                  <c:v>-180189.64587699284</c:v>
                </c:pt>
                <c:pt idx="22">
                  <c:v>-174514.12926997722</c:v>
                </c:pt>
                <c:pt idx="23">
                  <c:v>-168178.78037649262</c:v>
                </c:pt>
                <c:pt idx="24">
                  <c:v>-161164.64496072024</c:v>
                </c:pt>
                <c:pt idx="25">
                  <c:v>-153452.22499541601</c:v>
                </c:pt>
                <c:pt idx="26">
                  <c:v>-145021.46308255056</c:v>
                </c:pt>
                <c:pt idx="27">
                  <c:v>-135851.72642830628</c:v>
                </c:pt>
                <c:pt idx="28">
                  <c:v>-125921.7903597064</c:v>
                </c:pt>
                <c:pt idx="29">
                  <c:v>-115209.82136978845</c:v>
                </c:pt>
                <c:pt idx="30">
                  <c:v>143436.29419400875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614-AE48-95D2-AC318FC1B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2563167"/>
        <c:axId val="921849247"/>
      </c:lineChart>
      <c:catAx>
        <c:axId val="9225631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1849247"/>
        <c:crosses val="autoZero"/>
        <c:auto val="1"/>
        <c:lblAlgn val="ctr"/>
        <c:lblOffset val="100"/>
        <c:noMultiLvlLbl val="0"/>
      </c:catAx>
      <c:valAx>
        <c:axId val="92184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563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184150</xdr:rowOff>
    </xdr:from>
    <xdr:to>
      <xdr:col>9</xdr:col>
      <xdr:colOff>571500</xdr:colOff>
      <xdr:row>25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9DF230-FEE6-5F41-B340-2832C38C8B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C4854-0C22-C445-B6A5-0282F19E1C91}">
  <dimension ref="A1:W59"/>
  <sheetViews>
    <sheetView workbookViewId="0">
      <selection activeCell="E1" sqref="E1"/>
    </sheetView>
  </sheetViews>
  <sheetFormatPr baseColWidth="10" defaultRowHeight="15" x14ac:dyDescent="0.2"/>
  <cols>
    <col min="1" max="1" width="20.1640625" customWidth="1"/>
    <col min="2" max="2" width="11.83203125" customWidth="1"/>
    <col min="7" max="7" width="13.1640625" bestFit="1" customWidth="1"/>
    <col min="12" max="12" width="11.1640625" bestFit="1" customWidth="1"/>
    <col min="14" max="14" width="11.1640625" bestFit="1" customWidth="1"/>
    <col min="15" max="15" width="4.1640625" customWidth="1"/>
    <col min="21" max="21" width="3.5" customWidth="1"/>
  </cols>
  <sheetData>
    <row r="1" spans="1:10" ht="19" x14ac:dyDescent="0.25">
      <c r="A1" s="39" t="s">
        <v>47</v>
      </c>
      <c r="B1" s="40"/>
    </row>
    <row r="2" spans="1:10" x14ac:dyDescent="0.2">
      <c r="A2" t="s">
        <v>34</v>
      </c>
      <c r="B2" s="10">
        <v>2.9100000000000001E-2</v>
      </c>
    </row>
    <row r="3" spans="1:10" x14ac:dyDescent="0.2">
      <c r="A3" t="s">
        <v>2</v>
      </c>
      <c r="B3" s="11">
        <v>3.9100000000000003E-2</v>
      </c>
      <c r="C3" t="s">
        <v>42</v>
      </c>
    </row>
    <row r="5" spans="1:10" x14ac:dyDescent="0.2">
      <c r="A5" t="s">
        <v>14</v>
      </c>
      <c r="B5" s="13">
        <f>B12*B22/12</f>
        <v>2075</v>
      </c>
      <c r="C5" s="1"/>
    </row>
    <row r="6" spans="1:10" x14ac:dyDescent="0.2">
      <c r="A6" t="s">
        <v>12</v>
      </c>
      <c r="B6" s="2" t="s">
        <v>13</v>
      </c>
      <c r="C6" t="s">
        <v>24</v>
      </c>
      <c r="J6" t="s">
        <v>25</v>
      </c>
    </row>
    <row r="7" spans="1:10" x14ac:dyDescent="0.2">
      <c r="A7" t="s">
        <v>3</v>
      </c>
      <c r="B7" s="3">
        <f>B10/B11</f>
        <v>500000</v>
      </c>
    </row>
    <row r="8" spans="1:10" x14ac:dyDescent="0.2">
      <c r="A8" t="s">
        <v>4</v>
      </c>
      <c r="B8" s="6">
        <v>0.03</v>
      </c>
    </row>
    <row r="9" spans="1:10" x14ac:dyDescent="0.2">
      <c r="A9" t="s">
        <v>15</v>
      </c>
      <c r="B9" s="6">
        <v>0.06</v>
      </c>
    </row>
    <row r="10" spans="1:10" x14ac:dyDescent="0.2">
      <c r="A10" t="s">
        <v>6</v>
      </c>
      <c r="B10" s="9">
        <v>100000</v>
      </c>
    </row>
    <row r="11" spans="1:10" x14ac:dyDescent="0.2">
      <c r="A11" t="s">
        <v>33</v>
      </c>
      <c r="B11" s="8">
        <v>0.2</v>
      </c>
    </row>
    <row r="12" spans="1:10" x14ac:dyDescent="0.2">
      <c r="A12" t="s">
        <v>5</v>
      </c>
      <c r="B12" s="3">
        <f>(B7*(1+B8))-B10</f>
        <v>415000</v>
      </c>
    </row>
    <row r="13" spans="1:10" x14ac:dyDescent="0.2">
      <c r="A13" t="s">
        <v>8</v>
      </c>
      <c r="B13" s="5" t="s">
        <v>36</v>
      </c>
    </row>
    <row r="14" spans="1:10" x14ac:dyDescent="0.2">
      <c r="A14" t="s">
        <v>7</v>
      </c>
      <c r="B14" s="5" t="s">
        <v>36</v>
      </c>
    </row>
    <row r="15" spans="1:10" x14ac:dyDescent="0.2">
      <c r="A15" t="s">
        <v>27</v>
      </c>
      <c r="B15" s="6">
        <v>3.15E-2</v>
      </c>
      <c r="C15" t="s">
        <v>22</v>
      </c>
    </row>
    <row r="16" spans="1:10" x14ac:dyDescent="0.2">
      <c r="A16" t="s">
        <v>16</v>
      </c>
      <c r="B16" s="7">
        <v>30</v>
      </c>
    </row>
    <row r="17" spans="1:23" x14ac:dyDescent="0.2">
      <c r="A17" t="s">
        <v>41</v>
      </c>
      <c r="B17" s="6">
        <v>5.0000000000000001E-3</v>
      </c>
      <c r="C17" t="s">
        <v>32</v>
      </c>
    </row>
    <row r="18" spans="1:23" x14ac:dyDescent="0.2">
      <c r="A18" t="s">
        <v>0</v>
      </c>
      <c r="B18" s="6">
        <v>7.4999999999999997E-3</v>
      </c>
      <c r="C18" t="s">
        <v>31</v>
      </c>
    </row>
    <row r="19" spans="1:23" x14ac:dyDescent="0.2">
      <c r="A19" t="s">
        <v>29</v>
      </c>
      <c r="B19" s="6">
        <v>0.05</v>
      </c>
      <c r="C19" t="s">
        <v>30</v>
      </c>
    </row>
    <row r="20" spans="1:23" x14ac:dyDescent="0.2">
      <c r="A20" t="s">
        <v>10</v>
      </c>
      <c r="B20" s="6">
        <v>8.9999999999999993E-3</v>
      </c>
      <c r="G20" s="15"/>
    </row>
    <row r="21" spans="1:23" x14ac:dyDescent="0.2">
      <c r="A21" t="s">
        <v>9</v>
      </c>
      <c r="B21" s="8">
        <v>0.2</v>
      </c>
      <c r="G21" s="15"/>
    </row>
    <row r="22" spans="1:23" x14ac:dyDescent="0.2">
      <c r="A22" t="s">
        <v>39</v>
      </c>
      <c r="B22" s="12">
        <v>0.06</v>
      </c>
    </row>
    <row r="23" spans="1:23" x14ac:dyDescent="0.2">
      <c r="A23" t="s">
        <v>40</v>
      </c>
      <c r="B23" s="14">
        <v>200</v>
      </c>
      <c r="C23" t="s">
        <v>32</v>
      </c>
    </row>
    <row r="24" spans="1:23" ht="32" x14ac:dyDescent="0.2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6" t="s">
        <v>44</v>
      </c>
      <c r="M24" s="25"/>
      <c r="N24" s="16"/>
      <c r="P24" s="24"/>
      <c r="Q24" s="25"/>
      <c r="R24" s="26" t="s">
        <v>45</v>
      </c>
      <c r="S24" s="25"/>
      <c r="T24" s="16"/>
      <c r="V24" s="38" t="s">
        <v>46</v>
      </c>
      <c r="W24" s="16"/>
    </row>
    <row r="25" spans="1:23" x14ac:dyDescent="0.2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9">
        <f>IRR(L27:L57,0.02)</f>
        <v>-9.0132538400899964E-3</v>
      </c>
      <c r="M25" s="28"/>
      <c r="N25" s="18"/>
      <c r="P25" s="27"/>
      <c r="Q25" s="28"/>
      <c r="R25" s="29">
        <f>IRR(R27:R57,0.02)</f>
        <v>-2.5236956557385448E-2</v>
      </c>
      <c r="S25" s="28"/>
      <c r="T25" s="18"/>
      <c r="V25" s="17">
        <f>IRR(V27:V57,0.02)</f>
        <v>2.3832586012092039E-2</v>
      </c>
      <c r="W25" s="18"/>
    </row>
    <row r="26" spans="1:23" ht="32" x14ac:dyDescent="0.2">
      <c r="B26" s="27"/>
      <c r="C26" s="30" t="s">
        <v>17</v>
      </c>
      <c r="D26" s="30" t="s">
        <v>18</v>
      </c>
      <c r="E26" s="30" t="s">
        <v>19</v>
      </c>
      <c r="F26" s="30" t="s">
        <v>20</v>
      </c>
      <c r="G26" s="30" t="s">
        <v>1</v>
      </c>
      <c r="H26" s="30" t="s">
        <v>0</v>
      </c>
      <c r="I26" s="30" t="s">
        <v>21</v>
      </c>
      <c r="J26" s="30" t="s">
        <v>28</v>
      </c>
      <c r="K26" s="30" t="s">
        <v>35</v>
      </c>
      <c r="L26" s="30" t="s">
        <v>26</v>
      </c>
      <c r="M26" s="30" t="s">
        <v>23</v>
      </c>
      <c r="N26" s="35" t="s">
        <v>43</v>
      </c>
      <c r="P26" s="19" t="s">
        <v>11</v>
      </c>
      <c r="Q26" s="30" t="s">
        <v>1</v>
      </c>
      <c r="R26" s="30" t="s">
        <v>26</v>
      </c>
      <c r="S26" s="30" t="s">
        <v>38</v>
      </c>
      <c r="T26" s="31"/>
      <c r="V26" s="19" t="s">
        <v>37</v>
      </c>
      <c r="W26" s="18"/>
    </row>
    <row r="27" spans="1:23" x14ac:dyDescent="0.2">
      <c r="B27" s="27">
        <v>0</v>
      </c>
      <c r="C27" s="28"/>
      <c r="D27" s="28"/>
      <c r="E27" s="28"/>
      <c r="F27" s="32">
        <f>B12</f>
        <v>415000</v>
      </c>
      <c r="G27" s="28"/>
      <c r="H27" s="28"/>
      <c r="I27" s="28"/>
      <c r="J27" s="28"/>
      <c r="K27" s="28"/>
      <c r="L27" s="33">
        <f>-B10</f>
        <v>-100000</v>
      </c>
      <c r="M27" s="32">
        <f>B7</f>
        <v>500000</v>
      </c>
      <c r="N27" s="21">
        <f>L27</f>
        <v>-100000</v>
      </c>
      <c r="P27" s="27"/>
      <c r="Q27" s="28"/>
      <c r="R27" s="32"/>
      <c r="S27" s="32">
        <f>B10</f>
        <v>100000</v>
      </c>
      <c r="T27" s="21">
        <f>R27</f>
        <v>0</v>
      </c>
      <c r="V27" s="20">
        <f t="shared" ref="V27:V57" si="0">L27-R27</f>
        <v>-100000</v>
      </c>
      <c r="W27" s="21">
        <f>V27</f>
        <v>-100000</v>
      </c>
    </row>
    <row r="28" spans="1:23" x14ac:dyDescent="0.2">
      <c r="B28" s="27">
        <v>1</v>
      </c>
      <c r="C28" s="33">
        <f>PMT($B$15,$B$16,$F$27,0)</f>
        <v>-21585.581251538646</v>
      </c>
      <c r="D28" s="32">
        <f>F27*$B$15</f>
        <v>13072.5</v>
      </c>
      <c r="E28" s="32">
        <f>-C28-D28</f>
        <v>8513.081251538646</v>
      </c>
      <c r="F28" s="32">
        <f>F27-E28</f>
        <v>406486.91874846135</v>
      </c>
      <c r="G28" s="33">
        <f>-M27*$B$17</f>
        <v>-2500</v>
      </c>
      <c r="H28" s="33">
        <f>-M27*$B$18</f>
        <v>-3750</v>
      </c>
      <c r="I28" s="33">
        <f>-M27*$B$20</f>
        <v>-4500</v>
      </c>
      <c r="J28" s="32">
        <f>D28*$B$21</f>
        <v>2614.5</v>
      </c>
      <c r="K28" s="33"/>
      <c r="L28" s="33">
        <f>C28+G28+H28+I28+J28+K28</f>
        <v>-29721.081251538646</v>
      </c>
      <c r="M28" s="32">
        <f>M27*(1+$B$2)</f>
        <v>514549.99999999994</v>
      </c>
      <c r="N28" s="21">
        <f>N27+L28</f>
        <v>-129721.08125153865</v>
      </c>
      <c r="P28" s="20">
        <f>-$B$5*12</f>
        <v>-24900</v>
      </c>
      <c r="Q28" s="33">
        <f>-B23</f>
        <v>-200</v>
      </c>
      <c r="R28" s="33">
        <f>P28+Q28</f>
        <v>-25100</v>
      </c>
      <c r="S28" s="33">
        <f t="shared" ref="S28:S56" si="1">S27*(1+$B$22)+IF(V28&lt;0,-V28,0)</f>
        <v>110621.08125153865</v>
      </c>
      <c r="T28" s="21">
        <f>T27+R28</f>
        <v>-25100</v>
      </c>
      <c r="V28" s="20">
        <f t="shared" si="0"/>
        <v>-4621.081251538646</v>
      </c>
      <c r="W28" s="21">
        <f>W27+V28</f>
        <v>-104621.08125153865</v>
      </c>
    </row>
    <row r="29" spans="1:23" x14ac:dyDescent="0.2">
      <c r="B29" s="27">
        <v>2</v>
      </c>
      <c r="C29" s="33">
        <f>PMT($B$15,$B$16,$F$27,0)</f>
        <v>-21585.581251538646</v>
      </c>
      <c r="D29" s="32">
        <f t="shared" ref="D29:D42" si="2">F28*$B$15</f>
        <v>12804.337940576532</v>
      </c>
      <c r="E29" s="32">
        <f t="shared" ref="E29:E42" si="3">-C29-D29</f>
        <v>8781.2433109621143</v>
      </c>
      <c r="F29" s="32">
        <f t="shared" ref="F29:F42" si="4">F28-E29</f>
        <v>397705.67543749925</v>
      </c>
      <c r="G29" s="33">
        <f t="shared" ref="G29:G43" si="5">-M28*$B$17</f>
        <v>-2572.7499999999995</v>
      </c>
      <c r="H29" s="33">
        <f t="shared" ref="H29:H43" si="6">-M28*$B$18</f>
        <v>-3859.1249999999995</v>
      </c>
      <c r="I29" s="33">
        <f t="shared" ref="I29:I43" si="7">-M28*$B$20</f>
        <v>-4630.9499999999989</v>
      </c>
      <c r="J29" s="32">
        <f t="shared" ref="J29:J57" si="8">D29*$B$21</f>
        <v>2560.8675881153067</v>
      </c>
      <c r="K29" s="32"/>
      <c r="L29" s="33">
        <f t="shared" ref="L29:L56" si="9">C29+G29+H29+I29+J29+K29</f>
        <v>-30087.53866342334</v>
      </c>
      <c r="M29" s="32">
        <f t="shared" ref="M29:M52" si="10">M28*(1+$B$2)</f>
        <v>529523.40499999991</v>
      </c>
      <c r="N29" s="21">
        <f t="shared" ref="N29:N57" si="11">N28+L29</f>
        <v>-159808.61991496198</v>
      </c>
      <c r="P29" s="20">
        <f>P28*(1+$B$2)</f>
        <v>-25624.589999999997</v>
      </c>
      <c r="Q29" s="33">
        <f>Q28*(1+$B$2)</f>
        <v>-205.82</v>
      </c>
      <c r="R29" s="33">
        <f t="shared" ref="R29:R56" si="12">P29+Q29</f>
        <v>-25830.409999999996</v>
      </c>
      <c r="S29" s="33">
        <f t="shared" si="1"/>
        <v>121515.47479005432</v>
      </c>
      <c r="T29" s="21">
        <f t="shared" ref="T29:T57" si="13">T28+R29</f>
        <v>-50930.409999999996</v>
      </c>
      <c r="V29" s="20">
        <f t="shared" si="0"/>
        <v>-4257.1286634233438</v>
      </c>
      <c r="W29" s="21">
        <f>W28+V29</f>
        <v>-108878.20991496199</v>
      </c>
    </row>
    <row r="30" spans="1:23" x14ac:dyDescent="0.2">
      <c r="B30" s="27">
        <v>3</v>
      </c>
      <c r="C30" s="33">
        <f>PMT($B$15,$B$16,$F$27,0)</f>
        <v>-21585.581251538646</v>
      </c>
      <c r="D30" s="32">
        <f t="shared" si="2"/>
        <v>12527.728776281227</v>
      </c>
      <c r="E30" s="32">
        <f t="shared" si="3"/>
        <v>9057.8524752574194</v>
      </c>
      <c r="F30" s="32">
        <f t="shared" si="4"/>
        <v>388647.82296224183</v>
      </c>
      <c r="G30" s="33">
        <f t="shared" si="5"/>
        <v>-2647.6170249999996</v>
      </c>
      <c r="H30" s="33">
        <f t="shared" si="6"/>
        <v>-3971.4255374999993</v>
      </c>
      <c r="I30" s="33">
        <f t="shared" si="7"/>
        <v>-4765.7106449999992</v>
      </c>
      <c r="J30" s="32">
        <f t="shared" si="8"/>
        <v>2505.5457552562457</v>
      </c>
      <c r="K30" s="32"/>
      <c r="L30" s="33">
        <f t="shared" si="9"/>
        <v>-30464.788703782397</v>
      </c>
      <c r="M30" s="32">
        <f t="shared" si="10"/>
        <v>544932.5360854998</v>
      </c>
      <c r="N30" s="21">
        <f t="shared" si="11"/>
        <v>-190273.40861874438</v>
      </c>
      <c r="P30" s="20">
        <f t="shared" ref="P30:P57" si="14">P29*(1+$B$2)</f>
        <v>-26370.265568999996</v>
      </c>
      <c r="Q30" s="33">
        <f t="shared" ref="Q30:Q57" si="15">Q29*(1+$B$2)</f>
        <v>-211.80936199999996</v>
      </c>
      <c r="R30" s="33">
        <f t="shared" si="12"/>
        <v>-26582.074930999996</v>
      </c>
      <c r="S30" s="33">
        <f t="shared" si="1"/>
        <v>132689.11705023999</v>
      </c>
      <c r="T30" s="21">
        <f t="shared" si="13"/>
        <v>-77512.484930999984</v>
      </c>
      <c r="V30" s="20">
        <f t="shared" si="0"/>
        <v>-3882.7137727824011</v>
      </c>
      <c r="W30" s="21">
        <f>W29+V30</f>
        <v>-112760.92368774439</v>
      </c>
    </row>
    <row r="31" spans="1:23" x14ac:dyDescent="0.2">
      <c r="B31" s="27">
        <v>4</v>
      </c>
      <c r="C31" s="33">
        <f>PMT($B$15,$B$16,$F$27,0)</f>
        <v>-21585.581251538646</v>
      </c>
      <c r="D31" s="32">
        <f t="shared" si="2"/>
        <v>12242.406423310618</v>
      </c>
      <c r="E31" s="32">
        <f t="shared" si="3"/>
        <v>9343.1748282280278</v>
      </c>
      <c r="F31" s="32">
        <f t="shared" si="4"/>
        <v>379304.64813401381</v>
      </c>
      <c r="G31" s="33">
        <f t="shared" si="5"/>
        <v>-2724.6626804274993</v>
      </c>
      <c r="H31" s="33">
        <f t="shared" si="6"/>
        <v>-4086.9940206412484</v>
      </c>
      <c r="I31" s="33">
        <f t="shared" si="7"/>
        <v>-4904.3928247694976</v>
      </c>
      <c r="J31" s="32">
        <f t="shared" si="8"/>
        <v>2448.4812846621239</v>
      </c>
      <c r="K31" s="32"/>
      <c r="L31" s="33">
        <f t="shared" si="9"/>
        <v>-30853.149492714769</v>
      </c>
      <c r="M31" s="32">
        <f t="shared" si="10"/>
        <v>560790.07288558781</v>
      </c>
      <c r="N31" s="21">
        <f t="shared" si="11"/>
        <v>-221126.55811145913</v>
      </c>
      <c r="P31" s="20">
        <f t="shared" si="14"/>
        <v>-27137.640297057893</v>
      </c>
      <c r="Q31" s="33">
        <f t="shared" si="15"/>
        <v>-217.97301443419994</v>
      </c>
      <c r="R31" s="33">
        <f t="shared" si="12"/>
        <v>-27355.613311492092</v>
      </c>
      <c r="S31" s="33">
        <f t="shared" si="1"/>
        <v>144148.00025447708</v>
      </c>
      <c r="T31" s="21">
        <f t="shared" si="13"/>
        <v>-104868.09824249208</v>
      </c>
      <c r="V31" s="20">
        <f t="shared" si="0"/>
        <v>-3497.5361812226765</v>
      </c>
      <c r="W31" s="21">
        <f>W30+V31</f>
        <v>-116258.45986896707</v>
      </c>
    </row>
    <row r="32" spans="1:23" x14ac:dyDescent="0.2">
      <c r="B32" s="27">
        <v>5</v>
      </c>
      <c r="C32" s="33">
        <f>PMT($B$15,$B$16,$F$27,0)</f>
        <v>-21585.581251538646</v>
      </c>
      <c r="D32" s="32">
        <f t="shared" si="2"/>
        <v>11948.096416221435</v>
      </c>
      <c r="E32" s="32">
        <f t="shared" si="3"/>
        <v>9637.484835317211</v>
      </c>
      <c r="F32" s="32">
        <f t="shared" si="4"/>
        <v>369667.16329869663</v>
      </c>
      <c r="G32" s="33">
        <f t="shared" si="5"/>
        <v>-2803.9503644279389</v>
      </c>
      <c r="H32" s="33">
        <f t="shared" si="6"/>
        <v>-4205.9255466419081</v>
      </c>
      <c r="I32" s="33">
        <f t="shared" si="7"/>
        <v>-5047.1106559702903</v>
      </c>
      <c r="J32" s="32">
        <f t="shared" si="8"/>
        <v>2389.6192832442871</v>
      </c>
      <c r="K32" s="32"/>
      <c r="L32" s="33">
        <f t="shared" si="9"/>
        <v>-31252.948535334497</v>
      </c>
      <c r="M32" s="32">
        <f t="shared" si="10"/>
        <v>577109.06400655839</v>
      </c>
      <c r="N32" s="21">
        <f t="shared" si="11"/>
        <v>-252379.50664679363</v>
      </c>
      <c r="P32" s="20">
        <f t="shared" si="14"/>
        <v>-27927.345629702275</v>
      </c>
      <c r="Q32" s="33">
        <f t="shared" si="15"/>
        <v>-224.31602915423514</v>
      </c>
      <c r="R32" s="33">
        <f t="shared" si="12"/>
        <v>-28151.661658856508</v>
      </c>
      <c r="S32" s="33">
        <f t="shared" si="1"/>
        <v>155898.16714622371</v>
      </c>
      <c r="T32" s="21">
        <f t="shared" si="13"/>
        <v>-133019.75990134859</v>
      </c>
      <c r="V32" s="20">
        <f t="shared" si="0"/>
        <v>-3101.2868764779887</v>
      </c>
      <c r="W32" s="21">
        <f>W31+V32</f>
        <v>-119359.74674544505</v>
      </c>
    </row>
    <row r="33" spans="1:23" x14ac:dyDescent="0.2">
      <c r="B33" s="27">
        <v>6</v>
      </c>
      <c r="C33" s="33">
        <f>PMT($B$15,$B$16,$F$27,0)</f>
        <v>-21585.581251538646</v>
      </c>
      <c r="D33" s="32">
        <f t="shared" si="2"/>
        <v>11644.515643908944</v>
      </c>
      <c r="E33" s="32">
        <f t="shared" si="3"/>
        <v>9941.0656076297018</v>
      </c>
      <c r="F33" s="32">
        <f t="shared" si="4"/>
        <v>359726.09769106691</v>
      </c>
      <c r="G33" s="33">
        <f t="shared" si="5"/>
        <v>-2885.545320032792</v>
      </c>
      <c r="H33" s="33">
        <f t="shared" si="6"/>
        <v>-4328.317980049188</v>
      </c>
      <c r="I33" s="33">
        <f t="shared" si="7"/>
        <v>-5193.9815760590254</v>
      </c>
      <c r="J33" s="32">
        <f t="shared" si="8"/>
        <v>2328.9031287817888</v>
      </c>
      <c r="K33" s="32"/>
      <c r="L33" s="33">
        <f t="shared" si="9"/>
        <v>-31664.522998897864</v>
      </c>
      <c r="M33" s="32">
        <f t="shared" si="10"/>
        <v>593902.9377691492</v>
      </c>
      <c r="N33" s="21">
        <f t="shared" si="11"/>
        <v>-284044.02964569151</v>
      </c>
      <c r="P33" s="20">
        <f t="shared" si="14"/>
        <v>-28740.031387526607</v>
      </c>
      <c r="Q33" s="33">
        <f t="shared" si="15"/>
        <v>-230.84362560262335</v>
      </c>
      <c r="R33" s="33">
        <f t="shared" si="12"/>
        <v>-28970.875013129229</v>
      </c>
      <c r="S33" s="33">
        <f t="shared" si="1"/>
        <v>167945.70516076579</v>
      </c>
      <c r="T33" s="21">
        <f t="shared" si="13"/>
        <v>-161990.63491447782</v>
      </c>
      <c r="V33" s="20">
        <f t="shared" si="0"/>
        <v>-2693.6479857686354</v>
      </c>
      <c r="W33" s="21">
        <f>W32+V33</f>
        <v>-122053.39473121369</v>
      </c>
    </row>
    <row r="34" spans="1:23" x14ac:dyDescent="0.2">
      <c r="B34" s="27">
        <v>7</v>
      </c>
      <c r="C34" s="33">
        <f>PMT($B$15,$B$16,$F$27,0)</f>
        <v>-21585.581251538646</v>
      </c>
      <c r="D34" s="32">
        <f t="shared" si="2"/>
        <v>11331.372077268608</v>
      </c>
      <c r="E34" s="32">
        <f t="shared" si="3"/>
        <v>10254.209174270038</v>
      </c>
      <c r="F34" s="32">
        <f t="shared" si="4"/>
        <v>349471.88851679687</v>
      </c>
      <c r="G34" s="33">
        <f t="shared" si="5"/>
        <v>-2969.5146888457462</v>
      </c>
      <c r="H34" s="33">
        <f t="shared" si="6"/>
        <v>-4454.2720332686185</v>
      </c>
      <c r="I34" s="33">
        <f t="shared" si="7"/>
        <v>-5345.1264399223428</v>
      </c>
      <c r="J34" s="32">
        <f t="shared" si="8"/>
        <v>2266.2744154537218</v>
      </c>
      <c r="K34" s="32"/>
      <c r="L34" s="33">
        <f t="shared" si="9"/>
        <v>-32088.219998121633</v>
      </c>
      <c r="M34" s="32">
        <f t="shared" si="10"/>
        <v>611185.51325823134</v>
      </c>
      <c r="N34" s="21">
        <f t="shared" si="11"/>
        <v>-316132.24964381312</v>
      </c>
      <c r="P34" s="20">
        <f t="shared" si="14"/>
        <v>-29576.366300903628</v>
      </c>
      <c r="Q34" s="33">
        <f t="shared" si="15"/>
        <v>-237.56117510765966</v>
      </c>
      <c r="R34" s="33">
        <f t="shared" si="12"/>
        <v>-29813.927476011289</v>
      </c>
      <c r="S34" s="33">
        <f t="shared" si="1"/>
        <v>180296.73999252208</v>
      </c>
      <c r="T34" s="21">
        <f t="shared" si="13"/>
        <v>-191804.5623904891</v>
      </c>
      <c r="V34" s="20">
        <f t="shared" si="0"/>
        <v>-2274.2925221103433</v>
      </c>
      <c r="W34" s="21">
        <f>W33+V34</f>
        <v>-124327.68725332402</v>
      </c>
    </row>
    <row r="35" spans="1:23" x14ac:dyDescent="0.2">
      <c r="B35" s="27">
        <v>8</v>
      </c>
      <c r="C35" s="33">
        <f>PMT($B$15,$B$16,$F$27,0)</f>
        <v>-21585.581251538646</v>
      </c>
      <c r="D35" s="32">
        <f t="shared" si="2"/>
        <v>11008.364488279101</v>
      </c>
      <c r="E35" s="32">
        <f t="shared" si="3"/>
        <v>10577.216763259545</v>
      </c>
      <c r="F35" s="32">
        <f t="shared" si="4"/>
        <v>338894.67175353732</v>
      </c>
      <c r="G35" s="33">
        <f t="shared" si="5"/>
        <v>-3055.9275662911568</v>
      </c>
      <c r="H35" s="33">
        <f t="shared" si="6"/>
        <v>-4583.8913494367353</v>
      </c>
      <c r="I35" s="33">
        <f t="shared" si="7"/>
        <v>-5500.6696193240814</v>
      </c>
      <c r="J35" s="32">
        <f t="shared" si="8"/>
        <v>2201.6728976558202</v>
      </c>
      <c r="K35" s="32"/>
      <c r="L35" s="33">
        <f t="shared" si="9"/>
        <v>-32524.3968889348</v>
      </c>
      <c r="M35" s="32">
        <f t="shared" si="10"/>
        <v>628971.01169404585</v>
      </c>
      <c r="N35" s="21">
        <f t="shared" si="11"/>
        <v>-348656.64653274789</v>
      </c>
      <c r="P35" s="20">
        <f t="shared" si="14"/>
        <v>-30437.03856025992</v>
      </c>
      <c r="Q35" s="33">
        <f t="shared" si="15"/>
        <v>-244.47420530329254</v>
      </c>
      <c r="R35" s="33">
        <f t="shared" si="12"/>
        <v>-30681.512765563213</v>
      </c>
      <c r="S35" s="33">
        <f t="shared" si="1"/>
        <v>192957.428515445</v>
      </c>
      <c r="T35" s="21">
        <f t="shared" si="13"/>
        <v>-222486.07515605231</v>
      </c>
      <c r="V35" s="20">
        <f t="shared" si="0"/>
        <v>-1842.8841233715866</v>
      </c>
      <c r="W35" s="21">
        <f>W34+V35</f>
        <v>-126170.57137669562</v>
      </c>
    </row>
    <row r="36" spans="1:23" x14ac:dyDescent="0.2">
      <c r="B36" s="27">
        <v>9</v>
      </c>
      <c r="C36" s="33">
        <f>PMT($B$15,$B$16,$F$27,0)</f>
        <v>-21585.581251538646</v>
      </c>
      <c r="D36" s="32">
        <f t="shared" si="2"/>
        <v>10675.182160236425</v>
      </c>
      <c r="E36" s="32">
        <f t="shared" si="3"/>
        <v>10910.399091302221</v>
      </c>
      <c r="F36" s="32">
        <f t="shared" si="4"/>
        <v>327984.27266223507</v>
      </c>
      <c r="G36" s="33">
        <f t="shared" si="5"/>
        <v>-3144.8550584702293</v>
      </c>
      <c r="H36" s="33">
        <f t="shared" si="6"/>
        <v>-4717.2825877053438</v>
      </c>
      <c r="I36" s="33">
        <f t="shared" si="7"/>
        <v>-5660.7391052464127</v>
      </c>
      <c r="J36" s="32">
        <f t="shared" si="8"/>
        <v>2135.036432047285</v>
      </c>
      <c r="K36" s="32"/>
      <c r="L36" s="33">
        <f t="shared" si="9"/>
        <v>-32973.421570913342</v>
      </c>
      <c r="M36" s="32">
        <f t="shared" si="10"/>
        <v>647274.06813434255</v>
      </c>
      <c r="N36" s="21">
        <f t="shared" si="11"/>
        <v>-381630.06810366124</v>
      </c>
      <c r="P36" s="20">
        <f t="shared" si="14"/>
        <v>-31322.756382363481</v>
      </c>
      <c r="Q36" s="33">
        <f t="shared" si="15"/>
        <v>-251.58840467761831</v>
      </c>
      <c r="R36" s="33">
        <f t="shared" si="12"/>
        <v>-31574.3447870411</v>
      </c>
      <c r="S36" s="33">
        <f t="shared" si="1"/>
        <v>205933.95101024397</v>
      </c>
      <c r="T36" s="21">
        <f t="shared" si="13"/>
        <v>-254060.41994309341</v>
      </c>
      <c r="V36" s="20">
        <f t="shared" si="0"/>
        <v>-1399.0767838722422</v>
      </c>
      <c r="W36" s="21">
        <f>W35+V36</f>
        <v>-127569.64816056786</v>
      </c>
    </row>
    <row r="37" spans="1:23" x14ac:dyDescent="0.2">
      <c r="B37" s="27">
        <v>10</v>
      </c>
      <c r="C37" s="33">
        <f>PMT($B$15,$B$16,$F$27,0)</f>
        <v>-21585.581251538646</v>
      </c>
      <c r="D37" s="32">
        <f t="shared" si="2"/>
        <v>10331.504588860405</v>
      </c>
      <c r="E37" s="32">
        <f t="shared" si="3"/>
        <v>11254.076662678241</v>
      </c>
      <c r="F37" s="32">
        <f t="shared" si="4"/>
        <v>316730.19599955686</v>
      </c>
      <c r="G37" s="33">
        <f t="shared" si="5"/>
        <v>-3236.3703406717127</v>
      </c>
      <c r="H37" s="33">
        <f t="shared" si="6"/>
        <v>-4854.5555110075693</v>
      </c>
      <c r="I37" s="33">
        <f t="shared" si="7"/>
        <v>-5825.4666132090824</v>
      </c>
      <c r="J37" s="32">
        <f t="shared" si="8"/>
        <v>2066.300917772081</v>
      </c>
      <c r="K37" s="33">
        <f>-M36*$B$19</f>
        <v>-32363.70340671713</v>
      </c>
      <c r="L37" s="33">
        <f t="shared" si="9"/>
        <v>-65799.376205372057</v>
      </c>
      <c r="M37" s="32">
        <f t="shared" si="10"/>
        <v>666109.74351705192</v>
      </c>
      <c r="N37" s="21">
        <f t="shared" si="11"/>
        <v>-447429.44430903328</v>
      </c>
      <c r="P37" s="20">
        <f t="shared" si="14"/>
        <v>-32234.248593090255</v>
      </c>
      <c r="Q37" s="33">
        <f t="shared" si="15"/>
        <v>-258.90962725373697</v>
      </c>
      <c r="R37" s="33">
        <f t="shared" si="12"/>
        <v>-32493.15822034399</v>
      </c>
      <c r="S37" s="33">
        <f t="shared" si="1"/>
        <v>251596.20605588669</v>
      </c>
      <c r="T37" s="21">
        <f t="shared" si="13"/>
        <v>-286553.57816343743</v>
      </c>
      <c r="V37" s="20">
        <f t="shared" si="0"/>
        <v>-33306.217985028066</v>
      </c>
      <c r="W37" s="21">
        <f>W36+V37</f>
        <v>-160875.86614559591</v>
      </c>
    </row>
    <row r="38" spans="1:23" x14ac:dyDescent="0.2">
      <c r="B38" s="27">
        <v>11</v>
      </c>
      <c r="C38" s="33">
        <f>PMT($B$15,$B$16,$F$27,0)</f>
        <v>-21585.581251538646</v>
      </c>
      <c r="D38" s="32">
        <f t="shared" si="2"/>
        <v>9977.001173986042</v>
      </c>
      <c r="E38" s="32">
        <f t="shared" si="3"/>
        <v>11608.580077552604</v>
      </c>
      <c r="F38" s="32">
        <f t="shared" si="4"/>
        <v>305121.61592200428</v>
      </c>
      <c r="G38" s="33">
        <f t="shared" si="5"/>
        <v>-3330.5487175852595</v>
      </c>
      <c r="H38" s="33">
        <f t="shared" si="6"/>
        <v>-4995.8230763778893</v>
      </c>
      <c r="I38" s="33">
        <f t="shared" si="7"/>
        <v>-5994.9876916534668</v>
      </c>
      <c r="J38" s="32">
        <f t="shared" si="8"/>
        <v>1995.4002347972084</v>
      </c>
      <c r="K38" s="32"/>
      <c r="L38" s="33">
        <f t="shared" si="9"/>
        <v>-33911.540502358053</v>
      </c>
      <c r="M38" s="32">
        <f t="shared" si="10"/>
        <v>685493.53705339809</v>
      </c>
      <c r="N38" s="21">
        <f t="shared" si="11"/>
        <v>-481340.98481139133</v>
      </c>
      <c r="P38" s="20">
        <f t="shared" si="14"/>
        <v>-33172.265227149175</v>
      </c>
      <c r="Q38" s="33">
        <f t="shared" si="15"/>
        <v>-266.44389740682067</v>
      </c>
      <c r="R38" s="33">
        <f t="shared" si="12"/>
        <v>-33438.709124555993</v>
      </c>
      <c r="S38" s="33">
        <f t="shared" si="1"/>
        <v>267164.80979704199</v>
      </c>
      <c r="T38" s="21">
        <f t="shared" si="13"/>
        <v>-319992.28728799341</v>
      </c>
      <c r="V38" s="20">
        <f t="shared" si="0"/>
        <v>-472.83137780206016</v>
      </c>
      <c r="W38" s="21">
        <f>W37+V38</f>
        <v>-161348.69752339798</v>
      </c>
    </row>
    <row r="39" spans="1:23" x14ac:dyDescent="0.2">
      <c r="B39" s="27">
        <v>12</v>
      </c>
      <c r="C39" s="33">
        <f>PMT($B$15,$B$16,$F$27,0)</f>
        <v>-21585.581251538646</v>
      </c>
      <c r="D39" s="32">
        <f t="shared" si="2"/>
        <v>9611.330901543135</v>
      </c>
      <c r="E39" s="32">
        <f t="shared" si="3"/>
        <v>11974.250349995511</v>
      </c>
      <c r="F39" s="32">
        <f t="shared" si="4"/>
        <v>293147.36557200877</v>
      </c>
      <c r="G39" s="33">
        <f t="shared" si="5"/>
        <v>-3427.4676852669904</v>
      </c>
      <c r="H39" s="33">
        <f t="shared" si="6"/>
        <v>-5141.2015279004854</v>
      </c>
      <c r="I39" s="33">
        <f t="shared" si="7"/>
        <v>-6169.4418334805823</v>
      </c>
      <c r="J39" s="32">
        <f t="shared" si="8"/>
        <v>1922.2661803086271</v>
      </c>
      <c r="K39" s="32"/>
      <c r="L39" s="33">
        <f t="shared" si="9"/>
        <v>-34401.426117878073</v>
      </c>
      <c r="M39" s="32">
        <f t="shared" si="10"/>
        <v>705441.39898165187</v>
      </c>
      <c r="N39" s="21">
        <f t="shared" si="11"/>
        <v>-515742.41092926939</v>
      </c>
      <c r="P39" s="20">
        <f t="shared" si="14"/>
        <v>-34137.578145259213</v>
      </c>
      <c r="Q39" s="33">
        <f t="shared" si="15"/>
        <v>-274.19741482135913</v>
      </c>
      <c r="R39" s="33">
        <f t="shared" si="12"/>
        <v>-34411.775560080569</v>
      </c>
      <c r="S39" s="33">
        <f t="shared" si="1"/>
        <v>283194.69838486455</v>
      </c>
      <c r="T39" s="21">
        <f t="shared" si="13"/>
        <v>-354404.06284807401</v>
      </c>
      <c r="V39" s="20">
        <f t="shared" si="0"/>
        <v>10.349442202495993</v>
      </c>
      <c r="W39" s="21">
        <f>W38+V39</f>
        <v>-161338.34808119549</v>
      </c>
    </row>
    <row r="40" spans="1:23" x14ac:dyDescent="0.2">
      <c r="B40" s="27">
        <v>13</v>
      </c>
      <c r="C40" s="33">
        <f>PMT($B$15,$B$16,$F$27,0)</f>
        <v>-21585.581251538646</v>
      </c>
      <c r="D40" s="32">
        <f t="shared" si="2"/>
        <v>9234.1420155182768</v>
      </c>
      <c r="E40" s="32">
        <f t="shared" si="3"/>
        <v>12351.439236020369</v>
      </c>
      <c r="F40" s="32">
        <f t="shared" si="4"/>
        <v>280795.92633598839</v>
      </c>
      <c r="G40" s="33">
        <f t="shared" si="5"/>
        <v>-3527.2069949082593</v>
      </c>
      <c r="H40" s="33">
        <f t="shared" si="6"/>
        <v>-5290.8104923623887</v>
      </c>
      <c r="I40" s="33">
        <f t="shared" si="7"/>
        <v>-6348.9725908348664</v>
      </c>
      <c r="J40" s="32">
        <f t="shared" si="8"/>
        <v>1846.8284031036555</v>
      </c>
      <c r="K40" s="32"/>
      <c r="L40" s="33">
        <f t="shared" si="9"/>
        <v>-34905.742926540501</v>
      </c>
      <c r="M40" s="32">
        <f t="shared" si="10"/>
        <v>725969.74369201786</v>
      </c>
      <c r="N40" s="21">
        <f t="shared" si="11"/>
        <v>-550648.15385580994</v>
      </c>
      <c r="P40" s="20">
        <f t="shared" si="14"/>
        <v>-35130.981669286251</v>
      </c>
      <c r="Q40" s="33">
        <f t="shared" si="15"/>
        <v>-282.17655959266068</v>
      </c>
      <c r="R40" s="33">
        <f t="shared" si="12"/>
        <v>-35413.158228878914</v>
      </c>
      <c r="S40" s="33">
        <f t="shared" si="1"/>
        <v>300186.38028795645</v>
      </c>
      <c r="T40" s="21">
        <f t="shared" si="13"/>
        <v>-389817.22107695293</v>
      </c>
      <c r="V40" s="20">
        <f t="shared" si="0"/>
        <v>507.41530233841331</v>
      </c>
      <c r="W40" s="21">
        <f>W39+V40</f>
        <v>-160830.93277885707</v>
      </c>
    </row>
    <row r="41" spans="1:23" x14ac:dyDescent="0.2">
      <c r="B41" s="27">
        <v>14</v>
      </c>
      <c r="C41" s="33">
        <f>PMT($B$15,$B$16,$F$27,0)</f>
        <v>-21585.581251538646</v>
      </c>
      <c r="D41" s="32">
        <f t="shared" si="2"/>
        <v>8845.0716795836342</v>
      </c>
      <c r="E41" s="32">
        <f t="shared" si="3"/>
        <v>12740.509571955012</v>
      </c>
      <c r="F41" s="32">
        <f t="shared" si="4"/>
        <v>268055.41676403338</v>
      </c>
      <c r="G41" s="33">
        <f t="shared" si="5"/>
        <v>-3629.8487184600895</v>
      </c>
      <c r="H41" s="33">
        <f t="shared" si="6"/>
        <v>-5444.7730776901335</v>
      </c>
      <c r="I41" s="33">
        <f t="shared" si="7"/>
        <v>-6533.7276932281602</v>
      </c>
      <c r="J41" s="32">
        <f t="shared" si="8"/>
        <v>1769.0143359167268</v>
      </c>
      <c r="K41" s="32"/>
      <c r="L41" s="33">
        <f t="shared" si="9"/>
        <v>-35424.916405000302</v>
      </c>
      <c r="M41" s="32">
        <f t="shared" si="10"/>
        <v>747095.46323345555</v>
      </c>
      <c r="N41" s="21">
        <f t="shared" si="11"/>
        <v>-586073.0702608102</v>
      </c>
      <c r="P41" s="20">
        <f t="shared" si="14"/>
        <v>-36153.293235862475</v>
      </c>
      <c r="Q41" s="33">
        <f t="shared" si="15"/>
        <v>-290.3878974768071</v>
      </c>
      <c r="R41" s="33">
        <f t="shared" si="12"/>
        <v>-36443.681133339283</v>
      </c>
      <c r="S41" s="33">
        <f t="shared" si="1"/>
        <v>318197.56310523383</v>
      </c>
      <c r="T41" s="21">
        <f t="shared" si="13"/>
        <v>-426260.90221029223</v>
      </c>
      <c r="V41" s="20">
        <f t="shared" si="0"/>
        <v>1018.7647283389815</v>
      </c>
      <c r="W41" s="21">
        <f>W40+V41</f>
        <v>-159812.16805051808</v>
      </c>
    </row>
    <row r="42" spans="1:23" x14ac:dyDescent="0.2">
      <c r="A42" s="1"/>
      <c r="B42" s="27">
        <v>15</v>
      </c>
      <c r="C42" s="33">
        <f>PMT($B$15,$B$16,$F$27,0)</f>
        <v>-21585.581251538646</v>
      </c>
      <c r="D42" s="32">
        <f t="shared" si="2"/>
        <v>8443.7456280670522</v>
      </c>
      <c r="E42" s="32">
        <f t="shared" si="3"/>
        <v>13141.835623471594</v>
      </c>
      <c r="F42" s="32">
        <f t="shared" si="4"/>
        <v>254913.58114056179</v>
      </c>
      <c r="G42" s="33">
        <f t="shared" si="5"/>
        <v>-3735.4773161672779</v>
      </c>
      <c r="H42" s="33">
        <f t="shared" si="6"/>
        <v>-5603.2159742509166</v>
      </c>
      <c r="I42" s="33">
        <f t="shared" si="7"/>
        <v>-6723.8591691010997</v>
      </c>
      <c r="J42" s="32">
        <f t="shared" si="8"/>
        <v>1688.7491256134106</v>
      </c>
      <c r="K42" s="32"/>
      <c r="L42" s="33">
        <f t="shared" si="9"/>
        <v>-35959.384585444532</v>
      </c>
      <c r="M42" s="32">
        <f t="shared" si="10"/>
        <v>768835.941213549</v>
      </c>
      <c r="N42" s="21">
        <f t="shared" si="11"/>
        <v>-622032.45484625478</v>
      </c>
      <c r="P42" s="20">
        <f t="shared" si="14"/>
        <v>-37205.354069026071</v>
      </c>
      <c r="Q42" s="33">
        <f t="shared" si="15"/>
        <v>-298.83818529338214</v>
      </c>
      <c r="R42" s="33">
        <f t="shared" si="12"/>
        <v>-37504.192254319452</v>
      </c>
      <c r="S42" s="33">
        <f t="shared" si="1"/>
        <v>337289.41689154785</v>
      </c>
      <c r="T42" s="21">
        <f t="shared" si="13"/>
        <v>-463765.09446461167</v>
      </c>
      <c r="V42" s="20">
        <f t="shared" si="0"/>
        <v>1544.8076688749206</v>
      </c>
      <c r="W42" s="21">
        <f>W41+V42</f>
        <v>-158267.36038164317</v>
      </c>
    </row>
    <row r="43" spans="1:23" x14ac:dyDescent="0.2">
      <c r="A43" s="1"/>
      <c r="B43" s="27">
        <v>16</v>
      </c>
      <c r="C43" s="33">
        <f>PMT($B$15,$B$16,$F$27,0)</f>
        <v>-21585.581251538646</v>
      </c>
      <c r="D43" s="32">
        <f>F42*$B$15</f>
        <v>8029.7778059276961</v>
      </c>
      <c r="E43" s="32">
        <f>-C43-D43</f>
        <v>13555.803445610949</v>
      </c>
      <c r="F43" s="32">
        <f>F42-E43</f>
        <v>241357.77769495084</v>
      </c>
      <c r="G43" s="33">
        <f t="shared" si="5"/>
        <v>-3844.179706067745</v>
      </c>
      <c r="H43" s="33">
        <f t="shared" si="6"/>
        <v>-5766.2695591016172</v>
      </c>
      <c r="I43" s="33">
        <f t="shared" si="7"/>
        <v>-6919.5234709219403</v>
      </c>
      <c r="J43" s="32">
        <f t="shared" si="8"/>
        <v>1605.9555611855394</v>
      </c>
      <c r="K43" s="32"/>
      <c r="L43" s="33">
        <f t="shared" si="9"/>
        <v>-36509.598426444405</v>
      </c>
      <c r="M43" s="32">
        <f t="shared" si="10"/>
        <v>791209.06710286322</v>
      </c>
      <c r="N43" s="21">
        <f t="shared" si="11"/>
        <v>-658542.05327269924</v>
      </c>
      <c r="P43" s="20">
        <f t="shared" si="14"/>
        <v>-38288.029872434723</v>
      </c>
      <c r="Q43" s="33">
        <f t="shared" si="15"/>
        <v>-307.53437648541956</v>
      </c>
      <c r="R43" s="33">
        <f t="shared" si="12"/>
        <v>-38595.564248920142</v>
      </c>
      <c r="S43" s="33">
        <f t="shared" si="1"/>
        <v>357526.78190504073</v>
      </c>
      <c r="T43" s="21">
        <f t="shared" si="13"/>
        <v>-502360.6587135318</v>
      </c>
      <c r="V43" s="20">
        <f t="shared" si="0"/>
        <v>2085.9658224757368</v>
      </c>
      <c r="W43" s="21">
        <f>W42+V43</f>
        <v>-156181.39455916744</v>
      </c>
    </row>
    <row r="44" spans="1:23" x14ac:dyDescent="0.2">
      <c r="A44" s="1"/>
      <c r="B44" s="27">
        <v>17</v>
      </c>
      <c r="C44" s="33">
        <f>PMT($B$15,$B$16,$F$27,0)</f>
        <v>-21585.581251538646</v>
      </c>
      <c r="D44" s="32">
        <f t="shared" ref="D44:D57" si="16">F43*$B$15</f>
        <v>7602.7699973909512</v>
      </c>
      <c r="E44" s="32">
        <f t="shared" ref="E44:E57" si="17">-C44-D44</f>
        <v>13982.811254147695</v>
      </c>
      <c r="F44" s="32">
        <f t="shared" ref="F44:F57" si="18">F43-E44</f>
        <v>227374.96644080314</v>
      </c>
      <c r="G44" s="33">
        <f>-M43*$B$17</f>
        <v>-3956.0453355143163</v>
      </c>
      <c r="H44" s="33">
        <f>-M43*$B$18</f>
        <v>-5934.0680032714736</v>
      </c>
      <c r="I44" s="33">
        <f>-M43*$B$20</f>
        <v>-7120.8816039257681</v>
      </c>
      <c r="J44" s="32">
        <f t="shared" si="8"/>
        <v>1520.5539994781902</v>
      </c>
      <c r="K44" s="32"/>
      <c r="L44" s="33">
        <f t="shared" si="9"/>
        <v>-37076.022194772013</v>
      </c>
      <c r="M44" s="32">
        <f t="shared" si="10"/>
        <v>814233.25095555652</v>
      </c>
      <c r="N44" s="21">
        <f t="shared" si="11"/>
        <v>-695618.07546747127</v>
      </c>
      <c r="P44" s="20">
        <f t="shared" si="14"/>
        <v>-39402.211541722572</v>
      </c>
      <c r="Q44" s="33">
        <f t="shared" si="15"/>
        <v>-316.48362684114522</v>
      </c>
      <c r="R44" s="33">
        <f t="shared" si="12"/>
        <v>-39718.695168563718</v>
      </c>
      <c r="S44" s="33">
        <f t="shared" si="1"/>
        <v>378978.38881934318</v>
      </c>
      <c r="T44" s="21">
        <f t="shared" si="13"/>
        <v>-542079.35388209554</v>
      </c>
      <c r="V44" s="20">
        <f t="shared" si="0"/>
        <v>2642.6729737917049</v>
      </c>
      <c r="W44" s="21">
        <f>W43+V44</f>
        <v>-153538.72158537572</v>
      </c>
    </row>
    <row r="45" spans="1:23" x14ac:dyDescent="0.2">
      <c r="A45" s="1"/>
      <c r="B45" s="27">
        <v>18</v>
      </c>
      <c r="C45" s="33">
        <f>PMT($B$15,$B$16,$F$27,0)</f>
        <v>-21585.581251538646</v>
      </c>
      <c r="D45" s="32">
        <f t="shared" si="16"/>
        <v>7162.3114428852987</v>
      </c>
      <c r="E45" s="32">
        <f t="shared" si="17"/>
        <v>14423.269808653347</v>
      </c>
      <c r="F45" s="32">
        <f t="shared" si="18"/>
        <v>212951.6966321498</v>
      </c>
      <c r="G45" s="33">
        <f t="shared" ref="G45:G57" si="19">-M44*$B$17</f>
        <v>-4071.1662547777828</v>
      </c>
      <c r="H45" s="33">
        <f t="shared" ref="H45:H57" si="20">-M44*$B$18</f>
        <v>-6106.749382166674</v>
      </c>
      <c r="I45" s="33">
        <f t="shared" ref="I45:I57" si="21">-M44*$B$20</f>
        <v>-7328.0992586000084</v>
      </c>
      <c r="J45" s="32">
        <f t="shared" si="8"/>
        <v>1432.4622885770598</v>
      </c>
      <c r="K45" s="32"/>
      <c r="L45" s="33">
        <f t="shared" si="9"/>
        <v>-37659.133858506051</v>
      </c>
      <c r="M45" s="32">
        <f t="shared" si="10"/>
        <v>837927.43855836312</v>
      </c>
      <c r="N45" s="21">
        <f t="shared" si="11"/>
        <v>-733277.20932597737</v>
      </c>
      <c r="P45" s="20">
        <f t="shared" si="14"/>
        <v>-40548.815897586697</v>
      </c>
      <c r="Q45" s="33">
        <f t="shared" si="15"/>
        <v>-325.6933003822225</v>
      </c>
      <c r="R45" s="33">
        <f t="shared" si="12"/>
        <v>-40874.509197968917</v>
      </c>
      <c r="S45" s="33">
        <f t="shared" si="1"/>
        <v>401717.09214850381</v>
      </c>
      <c r="T45" s="21">
        <f t="shared" si="13"/>
        <v>-582953.86308006442</v>
      </c>
      <c r="V45" s="20">
        <f t="shared" si="0"/>
        <v>3215.3753394628657</v>
      </c>
      <c r="W45" s="21">
        <f>W44+V45</f>
        <v>-150323.34624591286</v>
      </c>
    </row>
    <row r="46" spans="1:23" x14ac:dyDescent="0.2">
      <c r="A46" s="1"/>
      <c r="B46" s="27">
        <v>19</v>
      </c>
      <c r="C46" s="33">
        <f>PMT($B$15,$B$16,$F$27,0)</f>
        <v>-21585.581251538646</v>
      </c>
      <c r="D46" s="32">
        <f t="shared" si="16"/>
        <v>6707.9784439127188</v>
      </c>
      <c r="E46" s="32">
        <f t="shared" si="17"/>
        <v>14877.602807625928</v>
      </c>
      <c r="F46" s="32">
        <f t="shared" si="18"/>
        <v>198074.09382452388</v>
      </c>
      <c r="G46" s="33">
        <f t="shared" si="19"/>
        <v>-4189.6371927918153</v>
      </c>
      <c r="H46" s="33">
        <f t="shared" si="20"/>
        <v>-6284.455789187723</v>
      </c>
      <c r="I46" s="33">
        <f t="shared" si="21"/>
        <v>-7541.3469470252676</v>
      </c>
      <c r="J46" s="32">
        <f>D46*$B$21</f>
        <v>1341.5956887825439</v>
      </c>
      <c r="K46" s="32"/>
      <c r="L46" s="33">
        <f t="shared" si="9"/>
        <v>-38259.425491760907</v>
      </c>
      <c r="M46" s="32">
        <f t="shared" si="10"/>
        <v>862311.12702041143</v>
      </c>
      <c r="N46" s="21">
        <f t="shared" si="11"/>
        <v>-771536.63481773832</v>
      </c>
      <c r="P46" s="20">
        <f t="shared" si="14"/>
        <v>-41728.786440206466</v>
      </c>
      <c r="Q46" s="33">
        <f t="shared" si="15"/>
        <v>-335.17097542334517</v>
      </c>
      <c r="R46" s="33">
        <f t="shared" si="12"/>
        <v>-42063.957415629811</v>
      </c>
      <c r="S46" s="33">
        <f t="shared" si="1"/>
        <v>425820.11767741409</v>
      </c>
      <c r="T46" s="21">
        <f t="shared" si="13"/>
        <v>-625017.82049569418</v>
      </c>
      <c r="V46" s="20">
        <f t="shared" si="0"/>
        <v>3804.5319238689044</v>
      </c>
      <c r="W46" s="21">
        <f>W45+V46</f>
        <v>-146518.81432204397</v>
      </c>
    </row>
    <row r="47" spans="1:23" x14ac:dyDescent="0.2">
      <c r="A47" s="1"/>
      <c r="B47" s="27">
        <v>20</v>
      </c>
      <c r="C47" s="33">
        <f>PMT($B$15,$B$16,$F$27,0)</f>
        <v>-21585.581251538646</v>
      </c>
      <c r="D47" s="32">
        <f t="shared" si="16"/>
        <v>6239.3339554725026</v>
      </c>
      <c r="E47" s="32">
        <f t="shared" si="17"/>
        <v>15346.247296066143</v>
      </c>
      <c r="F47" s="32">
        <f t="shared" si="18"/>
        <v>182727.84652845774</v>
      </c>
      <c r="G47" s="33">
        <f t="shared" si="19"/>
        <v>-4311.5556351020568</v>
      </c>
      <c r="H47" s="33">
        <f t="shared" si="20"/>
        <v>-6467.3334526530853</v>
      </c>
      <c r="I47" s="33">
        <f t="shared" si="21"/>
        <v>-7760.8001431837019</v>
      </c>
      <c r="J47" s="32">
        <f t="shared" si="8"/>
        <v>1247.8667910945005</v>
      </c>
      <c r="K47" s="33">
        <f>-M46*$B$19</f>
        <v>-43115.556351020576</v>
      </c>
      <c r="L47" s="33">
        <f t="shared" si="9"/>
        <v>-81992.960042403574</v>
      </c>
      <c r="M47" s="32">
        <f t="shared" si="10"/>
        <v>887404.38081670529</v>
      </c>
      <c r="N47" s="21">
        <f t="shared" si="11"/>
        <v>-853529.59486014186</v>
      </c>
      <c r="P47" s="20">
        <f t="shared" si="14"/>
        <v>-42943.094125616473</v>
      </c>
      <c r="Q47" s="33">
        <f t="shared" si="15"/>
        <v>-344.92445080816447</v>
      </c>
      <c r="R47" s="33">
        <f t="shared" si="12"/>
        <v>-43288.018576424634</v>
      </c>
      <c r="S47" s="33">
        <f t="shared" si="1"/>
        <v>490074.26620403788</v>
      </c>
      <c r="T47" s="21">
        <f t="shared" si="13"/>
        <v>-668305.83907211886</v>
      </c>
      <c r="V47" s="20">
        <f t="shared" si="0"/>
        <v>-38704.94146597894</v>
      </c>
      <c r="W47" s="21">
        <f>W46+V47</f>
        <v>-185223.75578802291</v>
      </c>
    </row>
    <row r="48" spans="1:23" x14ac:dyDescent="0.2">
      <c r="A48" s="1"/>
      <c r="B48" s="27">
        <v>21</v>
      </c>
      <c r="C48" s="33">
        <f>PMT($B$15,$B$16,$F$27,0)</f>
        <v>-21585.581251538646</v>
      </c>
      <c r="D48" s="32">
        <f t="shared" si="16"/>
        <v>5755.9271656464189</v>
      </c>
      <c r="E48" s="32">
        <f t="shared" si="17"/>
        <v>15829.654085892227</v>
      </c>
      <c r="F48" s="32">
        <f t="shared" si="18"/>
        <v>166898.19244256552</v>
      </c>
      <c r="G48" s="33">
        <f t="shared" si="19"/>
        <v>-4437.0219040835264</v>
      </c>
      <c r="H48" s="33">
        <f t="shared" si="20"/>
        <v>-6655.5328561252891</v>
      </c>
      <c r="I48" s="33">
        <f t="shared" si="21"/>
        <v>-7986.6394273503474</v>
      </c>
      <c r="J48" s="32">
        <f t="shared" si="8"/>
        <v>1151.1854331292839</v>
      </c>
      <c r="K48" s="32"/>
      <c r="L48" s="33">
        <f t="shared" si="9"/>
        <v>-39513.590005968523</v>
      </c>
      <c r="M48" s="32">
        <f t="shared" si="10"/>
        <v>913227.8482984713</v>
      </c>
      <c r="N48" s="21">
        <f t="shared" si="11"/>
        <v>-893043.18486611033</v>
      </c>
      <c r="P48" s="20">
        <f t="shared" si="14"/>
        <v>-44192.738164671908</v>
      </c>
      <c r="Q48" s="33">
        <f t="shared" si="15"/>
        <v>-354.96175232668202</v>
      </c>
      <c r="R48" s="33">
        <f t="shared" si="12"/>
        <v>-44547.699916998587</v>
      </c>
      <c r="S48" s="33">
        <f t="shared" si="1"/>
        <v>519478.72217628016</v>
      </c>
      <c r="T48" s="21">
        <f t="shared" si="13"/>
        <v>-712853.53898911749</v>
      </c>
      <c r="V48" s="20">
        <f t="shared" si="0"/>
        <v>5034.1099110300638</v>
      </c>
      <c r="W48" s="21">
        <f>W47+V48</f>
        <v>-180189.64587699284</v>
      </c>
    </row>
    <row r="49" spans="1:23" x14ac:dyDescent="0.2">
      <c r="A49" s="1"/>
      <c r="B49" s="27">
        <v>22</v>
      </c>
      <c r="C49" s="33">
        <f>PMT($B$15,$B$16,$F$27,0)</f>
        <v>-21585.581251538646</v>
      </c>
      <c r="D49" s="32">
        <f t="shared" si="16"/>
        <v>5257.2930619408135</v>
      </c>
      <c r="E49" s="32">
        <f t="shared" si="17"/>
        <v>16328.288189597832</v>
      </c>
      <c r="F49" s="32">
        <f t="shared" si="18"/>
        <v>150569.90425296768</v>
      </c>
      <c r="G49" s="33">
        <f t="shared" si="19"/>
        <v>-4566.1392414923566</v>
      </c>
      <c r="H49" s="33">
        <f t="shared" si="20"/>
        <v>-6849.2088622385345</v>
      </c>
      <c r="I49" s="33">
        <f t="shared" si="21"/>
        <v>-8219.0506346862403</v>
      </c>
      <c r="J49" s="32">
        <f t="shared" si="8"/>
        <v>1051.4586123881627</v>
      </c>
      <c r="K49" s="32"/>
      <c r="L49" s="33">
        <f t="shared" si="9"/>
        <v>-40168.521377567617</v>
      </c>
      <c r="M49" s="32">
        <f t="shared" si="10"/>
        <v>939802.77868395671</v>
      </c>
      <c r="N49" s="21">
        <f t="shared" si="11"/>
        <v>-933211.706243678</v>
      </c>
      <c r="P49" s="20">
        <f t="shared" si="14"/>
        <v>-45478.746845263857</v>
      </c>
      <c r="Q49" s="33">
        <f t="shared" si="15"/>
        <v>-365.29113931938844</v>
      </c>
      <c r="R49" s="33">
        <f t="shared" si="12"/>
        <v>-45844.037984583243</v>
      </c>
      <c r="S49" s="33">
        <f t="shared" si="1"/>
        <v>550647.44550685701</v>
      </c>
      <c r="T49" s="21">
        <f t="shared" si="13"/>
        <v>-758697.57697370078</v>
      </c>
      <c r="V49" s="20">
        <f t="shared" si="0"/>
        <v>5675.5166070156265</v>
      </c>
      <c r="W49" s="21">
        <f>W48+V49</f>
        <v>-174514.12926997722</v>
      </c>
    </row>
    <row r="50" spans="1:23" x14ac:dyDescent="0.2">
      <c r="A50" s="1"/>
      <c r="B50" s="27">
        <v>23</v>
      </c>
      <c r="C50" s="33">
        <f>PMT($B$15,$B$16,$F$27,0)</f>
        <v>-21585.581251538646</v>
      </c>
      <c r="D50" s="32">
        <f t="shared" si="16"/>
        <v>4742.9519839684817</v>
      </c>
      <c r="E50" s="32">
        <f t="shared" si="17"/>
        <v>16842.629267570162</v>
      </c>
      <c r="F50" s="32">
        <f t="shared" si="18"/>
        <v>133727.27498539753</v>
      </c>
      <c r="G50" s="33">
        <f t="shared" si="19"/>
        <v>-4699.0138934197839</v>
      </c>
      <c r="H50" s="33">
        <f t="shared" si="20"/>
        <v>-7048.520840129675</v>
      </c>
      <c r="I50" s="33">
        <f t="shared" si="21"/>
        <v>-8458.2250081556103</v>
      </c>
      <c r="J50" s="32">
        <f t="shared" si="8"/>
        <v>948.59039679369641</v>
      </c>
      <c r="K50" s="32"/>
      <c r="L50" s="33">
        <f t="shared" si="9"/>
        <v>-40842.750596450023</v>
      </c>
      <c r="M50" s="32">
        <f t="shared" si="10"/>
        <v>967151.03954365978</v>
      </c>
      <c r="N50" s="21">
        <f t="shared" si="11"/>
        <v>-974054.45684012806</v>
      </c>
      <c r="P50" s="20">
        <f t="shared" si="14"/>
        <v>-46802.178378461031</v>
      </c>
      <c r="Q50" s="33">
        <f t="shared" si="15"/>
        <v>-375.92111147358258</v>
      </c>
      <c r="R50" s="33">
        <f t="shared" si="12"/>
        <v>-47178.099489934611</v>
      </c>
      <c r="S50" s="33">
        <f t="shared" si="1"/>
        <v>583686.29223726841</v>
      </c>
      <c r="T50" s="21">
        <f t="shared" si="13"/>
        <v>-805875.67646363541</v>
      </c>
      <c r="V50" s="20">
        <f t="shared" si="0"/>
        <v>6335.3488934845882</v>
      </c>
      <c r="W50" s="21">
        <f>W49+V50</f>
        <v>-168178.78037649262</v>
      </c>
    </row>
    <row r="51" spans="1:23" x14ac:dyDescent="0.2">
      <c r="A51" s="1"/>
      <c r="B51" s="27">
        <v>24</v>
      </c>
      <c r="C51" s="33">
        <f>PMT($B$15,$B$16,$F$27,0)</f>
        <v>-21585.581251538646</v>
      </c>
      <c r="D51" s="32">
        <f t="shared" si="16"/>
        <v>4212.4091620400222</v>
      </c>
      <c r="E51" s="32">
        <f t="shared" si="17"/>
        <v>17373.172089498625</v>
      </c>
      <c r="F51" s="32">
        <f t="shared" si="18"/>
        <v>116354.1028958989</v>
      </c>
      <c r="G51" s="33">
        <f t="shared" si="19"/>
        <v>-4835.7551977182993</v>
      </c>
      <c r="H51" s="33">
        <f t="shared" si="20"/>
        <v>-7253.6327965774481</v>
      </c>
      <c r="I51" s="33">
        <f t="shared" si="21"/>
        <v>-8704.3593558929369</v>
      </c>
      <c r="J51" s="32">
        <f t="shared" si="8"/>
        <v>842.48183240800449</v>
      </c>
      <c r="K51" s="32"/>
      <c r="L51" s="33">
        <f t="shared" si="9"/>
        <v>-41536.846769319323</v>
      </c>
      <c r="M51" s="32">
        <f t="shared" si="10"/>
        <v>995295.13479438017</v>
      </c>
      <c r="N51" s="21">
        <f t="shared" si="11"/>
        <v>-1015591.3036094473</v>
      </c>
      <c r="P51" s="20">
        <f t="shared" si="14"/>
        <v>-48164.121769274243</v>
      </c>
      <c r="Q51" s="33">
        <f t="shared" si="15"/>
        <v>-386.86041581746377</v>
      </c>
      <c r="R51" s="33">
        <f t="shared" si="12"/>
        <v>-48550.982185091707</v>
      </c>
      <c r="S51" s="33">
        <f t="shared" si="1"/>
        <v>618707.46977150452</v>
      </c>
      <c r="T51" s="21">
        <f t="shared" si="13"/>
        <v>-854426.65864872711</v>
      </c>
      <c r="V51" s="20">
        <f t="shared" si="0"/>
        <v>7014.1354157723836</v>
      </c>
      <c r="W51" s="21">
        <f>W50+V51</f>
        <v>-161164.64496072024</v>
      </c>
    </row>
    <row r="52" spans="1:23" x14ac:dyDescent="0.2">
      <c r="A52" s="1"/>
      <c r="B52" s="27">
        <v>25</v>
      </c>
      <c r="C52" s="33">
        <f>PMT($B$15,$B$16,$F$27,0)</f>
        <v>-21585.581251538646</v>
      </c>
      <c r="D52" s="32">
        <f t="shared" si="16"/>
        <v>3665.1542412208155</v>
      </c>
      <c r="E52" s="32">
        <f t="shared" si="17"/>
        <v>17920.427010317831</v>
      </c>
      <c r="F52" s="32">
        <f t="shared" si="18"/>
        <v>98433.675885581077</v>
      </c>
      <c r="G52" s="33">
        <f t="shared" si="19"/>
        <v>-4976.4756739719005</v>
      </c>
      <c r="H52" s="33">
        <f t="shared" si="20"/>
        <v>-7464.7135109578512</v>
      </c>
      <c r="I52" s="33">
        <f t="shared" si="21"/>
        <v>-8957.6562131494211</v>
      </c>
      <c r="J52" s="32">
        <f t="shared" si="8"/>
        <v>733.03084824416317</v>
      </c>
      <c r="K52" s="32"/>
      <c r="L52" s="33">
        <f t="shared" si="9"/>
        <v>-42251.395801373656</v>
      </c>
      <c r="M52" s="32">
        <f t="shared" si="10"/>
        <v>1024258.2232168965</v>
      </c>
      <c r="N52" s="21">
        <f t="shared" si="11"/>
        <v>-1057842.6994108211</v>
      </c>
      <c r="P52" s="20">
        <f t="shared" si="14"/>
        <v>-49565.69771276012</v>
      </c>
      <c r="Q52" s="33">
        <f t="shared" si="15"/>
        <v>-398.11805391775192</v>
      </c>
      <c r="R52" s="33">
        <f t="shared" si="12"/>
        <v>-49963.815766677872</v>
      </c>
      <c r="S52" s="33">
        <f t="shared" si="1"/>
        <v>655829.91795779485</v>
      </c>
      <c r="T52" s="21">
        <f t="shared" si="13"/>
        <v>-904390.47441540495</v>
      </c>
      <c r="V52" s="20">
        <f t="shared" si="0"/>
        <v>7712.419965304216</v>
      </c>
      <c r="W52" s="21">
        <f>W51+V52</f>
        <v>-153452.22499541601</v>
      </c>
    </row>
    <row r="53" spans="1:23" x14ac:dyDescent="0.2">
      <c r="A53" s="1"/>
      <c r="B53" s="27">
        <v>26</v>
      </c>
      <c r="C53" s="33">
        <f>PMT($B$15,$B$16,$F$27,0)</f>
        <v>-21585.581251538646</v>
      </c>
      <c r="D53" s="32">
        <f t="shared" si="16"/>
        <v>3100.6607903958038</v>
      </c>
      <c r="E53" s="32">
        <f t="shared" si="17"/>
        <v>18484.920461142843</v>
      </c>
      <c r="F53" s="32">
        <f t="shared" si="18"/>
        <v>79948.755424438234</v>
      </c>
      <c r="G53" s="33">
        <f t="shared" si="19"/>
        <v>-5121.2911160844824</v>
      </c>
      <c r="H53" s="33">
        <f t="shared" si="20"/>
        <v>-7681.936674126724</v>
      </c>
      <c r="I53" s="33">
        <f t="shared" si="21"/>
        <v>-9218.3240089520677</v>
      </c>
      <c r="J53" s="32">
        <f t="shared" si="8"/>
        <v>620.13215807916083</v>
      </c>
      <c r="K53" s="32"/>
      <c r="L53" s="33">
        <f t="shared" si="9"/>
        <v>-42987.00089262276</v>
      </c>
      <c r="M53" s="32">
        <f>M52*(1+$B$2)</f>
        <v>1054064.1375125081</v>
      </c>
      <c r="N53" s="21">
        <f t="shared" si="11"/>
        <v>-1100829.7003034439</v>
      </c>
      <c r="P53" s="20">
        <f t="shared" si="14"/>
        <v>-51008.059516201436</v>
      </c>
      <c r="Q53" s="33">
        <f t="shared" si="15"/>
        <v>-409.70328928675849</v>
      </c>
      <c r="R53" s="33">
        <f t="shared" si="12"/>
        <v>-51417.762805488193</v>
      </c>
      <c r="S53" s="33">
        <f t="shared" si="1"/>
        <v>695179.71303526254</v>
      </c>
      <c r="T53" s="21">
        <f t="shared" si="13"/>
        <v>-955808.23722089315</v>
      </c>
      <c r="V53" s="20">
        <f t="shared" si="0"/>
        <v>8430.7619128654333</v>
      </c>
      <c r="W53" s="21">
        <f>W52+V53</f>
        <v>-145021.46308255056</v>
      </c>
    </row>
    <row r="54" spans="1:23" x14ac:dyDescent="0.2">
      <c r="A54" s="1"/>
      <c r="B54" s="27">
        <v>27</v>
      </c>
      <c r="C54" s="33">
        <f>PMT($B$15,$B$16,$F$27,0)</f>
        <v>-21585.581251538646</v>
      </c>
      <c r="D54" s="32">
        <f t="shared" si="16"/>
        <v>2518.3857958698045</v>
      </c>
      <c r="E54" s="32">
        <f t="shared" si="17"/>
        <v>19067.195455668843</v>
      </c>
      <c r="F54" s="32">
        <f t="shared" si="18"/>
        <v>60881.55996876939</v>
      </c>
      <c r="G54" s="33">
        <f t="shared" si="19"/>
        <v>-5270.3206875625401</v>
      </c>
      <c r="H54" s="33">
        <f t="shared" si="20"/>
        <v>-7905.4810313438102</v>
      </c>
      <c r="I54" s="33">
        <f t="shared" si="21"/>
        <v>-9486.5772376125715</v>
      </c>
      <c r="J54" s="32">
        <f t="shared" si="8"/>
        <v>503.67715917396094</v>
      </c>
      <c r="K54" s="32"/>
      <c r="L54" s="33">
        <f t="shared" si="9"/>
        <v>-43744.283048883612</v>
      </c>
      <c r="M54" s="32">
        <f t="shared" ref="M54:M57" si="22">M53*(1+$B$2)</f>
        <v>1084737.4039141219</v>
      </c>
      <c r="N54" s="21">
        <f t="shared" si="11"/>
        <v>-1144573.9833523275</v>
      </c>
      <c r="P54" s="20">
        <f t="shared" si="14"/>
        <v>-52492.394048122893</v>
      </c>
      <c r="Q54" s="33">
        <f t="shared" si="15"/>
        <v>-421.62565500500313</v>
      </c>
      <c r="R54" s="33">
        <f t="shared" si="12"/>
        <v>-52914.019703127895</v>
      </c>
      <c r="S54" s="33">
        <f t="shared" si="1"/>
        <v>736890.49581737828</v>
      </c>
      <c r="T54" s="21">
        <f t="shared" si="13"/>
        <v>-1008722.2569240211</v>
      </c>
      <c r="V54" s="20">
        <f t="shared" si="0"/>
        <v>9169.7366542442833</v>
      </c>
      <c r="W54" s="21">
        <f>W53+V54</f>
        <v>-135851.72642830628</v>
      </c>
    </row>
    <row r="55" spans="1:23" x14ac:dyDescent="0.2">
      <c r="A55" s="1"/>
      <c r="B55" s="27">
        <v>28</v>
      </c>
      <c r="C55" s="33">
        <f>PMT($B$15,$B$16,$F$27,0)</f>
        <v>-21585.581251538646</v>
      </c>
      <c r="D55" s="32">
        <f t="shared" si="16"/>
        <v>1917.7691390162358</v>
      </c>
      <c r="E55" s="32">
        <f t="shared" si="17"/>
        <v>19667.81211252241</v>
      </c>
      <c r="F55" s="32">
        <f t="shared" si="18"/>
        <v>41213.747856246977</v>
      </c>
      <c r="G55" s="33">
        <f t="shared" si="19"/>
        <v>-5423.6870195706097</v>
      </c>
      <c r="H55" s="33">
        <f t="shared" si="20"/>
        <v>-8135.530529355914</v>
      </c>
      <c r="I55" s="33">
        <f t="shared" si="21"/>
        <v>-9762.6366352270961</v>
      </c>
      <c r="J55" s="32">
        <f t="shared" si="8"/>
        <v>383.5538278032472</v>
      </c>
      <c r="K55" s="32"/>
      <c r="L55" s="33">
        <f t="shared" si="9"/>
        <v>-44523.881607889023</v>
      </c>
      <c r="M55" s="32">
        <f t="shared" si="22"/>
        <v>1116303.2623680227</v>
      </c>
      <c r="N55" s="21">
        <f t="shared" si="11"/>
        <v>-1189097.8649602165</v>
      </c>
      <c r="P55" s="20">
        <f t="shared" si="14"/>
        <v>-54019.922714923261</v>
      </c>
      <c r="Q55" s="33">
        <f t="shared" si="15"/>
        <v>-433.89496156564866</v>
      </c>
      <c r="R55" s="33">
        <f t="shared" si="12"/>
        <v>-54453.817676488907</v>
      </c>
      <c r="S55" s="33">
        <f t="shared" si="1"/>
        <v>781103.92556642101</v>
      </c>
      <c r="T55" s="21">
        <f t="shared" si="13"/>
        <v>-1063176.0746005101</v>
      </c>
      <c r="V55" s="20">
        <f t="shared" si="0"/>
        <v>9929.9360685998836</v>
      </c>
      <c r="W55" s="21">
        <f>W54+V55</f>
        <v>-125921.7903597064</v>
      </c>
    </row>
    <row r="56" spans="1:23" x14ac:dyDescent="0.2">
      <c r="A56" s="1"/>
      <c r="B56" s="27">
        <v>29</v>
      </c>
      <c r="C56" s="33">
        <f>PMT($B$15,$B$16,$F$27,0)</f>
        <v>-21585.581251538646</v>
      </c>
      <c r="D56" s="32">
        <f t="shared" si="16"/>
        <v>1298.2330574717798</v>
      </c>
      <c r="E56" s="32">
        <f t="shared" si="17"/>
        <v>20287.348194066864</v>
      </c>
      <c r="F56" s="32">
        <f t="shared" si="18"/>
        <v>20926.399662180113</v>
      </c>
      <c r="G56" s="33">
        <f t="shared" si="19"/>
        <v>-5581.5163118401133</v>
      </c>
      <c r="H56" s="33">
        <f t="shared" si="20"/>
        <v>-8372.2744677601695</v>
      </c>
      <c r="I56" s="33">
        <f t="shared" si="21"/>
        <v>-10046.729361312204</v>
      </c>
      <c r="J56" s="32">
        <f t="shared" si="8"/>
        <v>259.64661149435597</v>
      </c>
      <c r="K56" s="32"/>
      <c r="L56" s="33">
        <f t="shared" si="9"/>
        <v>-45326.454780956781</v>
      </c>
      <c r="M56" s="32">
        <f t="shared" si="22"/>
        <v>1148787.6873029321</v>
      </c>
      <c r="N56" s="21">
        <f t="shared" si="11"/>
        <v>-1234424.3197411732</v>
      </c>
      <c r="P56" s="20">
        <f t="shared" si="14"/>
        <v>-55591.902465927524</v>
      </c>
      <c r="Q56" s="33">
        <f t="shared" si="15"/>
        <v>-446.52130494720899</v>
      </c>
      <c r="R56" s="33">
        <f t="shared" si="12"/>
        <v>-56038.423770874731</v>
      </c>
      <c r="S56" s="33">
        <f t="shared" si="1"/>
        <v>827970.16110040632</v>
      </c>
      <c r="T56" s="21">
        <f t="shared" si="13"/>
        <v>-1119214.4983713848</v>
      </c>
      <c r="V56" s="20">
        <f t="shared" si="0"/>
        <v>10711.96898991795</v>
      </c>
      <c r="W56" s="21">
        <f>W55+V56</f>
        <v>-115209.82136978845</v>
      </c>
    </row>
    <row r="57" spans="1:23" x14ac:dyDescent="0.2">
      <c r="A57" s="1"/>
      <c r="B57" s="36">
        <v>30</v>
      </c>
      <c r="C57" s="34">
        <f>PMT($B$15,$B$16,$F$27,0)</f>
        <v>-21585.581251538646</v>
      </c>
      <c r="D57" s="37">
        <f t="shared" si="16"/>
        <v>659.18158935867359</v>
      </c>
      <c r="E57" s="37">
        <f t="shared" si="17"/>
        <v>20926.399662179974</v>
      </c>
      <c r="F57" s="37">
        <f t="shared" si="18"/>
        <v>1.3824319466948509E-10</v>
      </c>
      <c r="G57" s="34">
        <f t="shared" si="19"/>
        <v>-5743.9384365146607</v>
      </c>
      <c r="H57" s="34">
        <f t="shared" si="20"/>
        <v>-8615.9076547719906</v>
      </c>
      <c r="I57" s="34">
        <f t="shared" si="21"/>
        <v>-10339.089185726389</v>
      </c>
      <c r="J57" s="37">
        <f t="shared" si="8"/>
        <v>131.83631787173474</v>
      </c>
      <c r="K57" s="34">
        <f>-M56*$B$19</f>
        <v>-57439.384365146609</v>
      </c>
      <c r="L57" s="34">
        <f>C57+G57+H57+I57+J57+K57+M57</f>
        <v>1078625.3444276208</v>
      </c>
      <c r="M57" s="37">
        <f t="shared" si="22"/>
        <v>1182217.4090034473</v>
      </c>
      <c r="N57" s="23">
        <f t="shared" si="11"/>
        <v>-155798.97531355242</v>
      </c>
      <c r="P57" s="22">
        <f t="shared" si="14"/>
        <v>-57209.626827686006</v>
      </c>
      <c r="Q57" s="34">
        <f t="shared" si="15"/>
        <v>-459.51507492117275</v>
      </c>
      <c r="R57" s="34">
        <f>P57+Q57+S57</f>
        <v>819979.22886382358</v>
      </c>
      <c r="S57" s="34">
        <f>S56*(1+$B$22)</f>
        <v>877648.37076643074</v>
      </c>
      <c r="T57" s="23">
        <f t="shared" si="13"/>
        <v>-299235.26950756123</v>
      </c>
      <c r="V57" s="22">
        <f t="shared" si="0"/>
        <v>258646.11556379718</v>
      </c>
      <c r="W57" s="23">
        <f>W56+V57</f>
        <v>143436.29419400875</v>
      </c>
    </row>
    <row r="58" spans="1:23" x14ac:dyDescent="0.2">
      <c r="A58" s="1"/>
      <c r="C58" s="4"/>
    </row>
    <row r="59" spans="1:23" x14ac:dyDescent="0.2">
      <c r="D5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07CFA-B866-6D4C-9635-5FD1D6372DFB}">
  <dimension ref="A1"/>
  <sheetViews>
    <sheetView tabSelected="1" workbookViewId="0"/>
  </sheetViews>
  <sheetFormatPr baseColWidth="10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Morrison</dc:creator>
  <cp:lastModifiedBy>Microsoft Office User</cp:lastModifiedBy>
  <cp:lastPrinted>2020-09-22T21:22:07Z</cp:lastPrinted>
  <dcterms:created xsi:type="dcterms:W3CDTF">2020-09-22T20:40:48Z</dcterms:created>
  <dcterms:modified xsi:type="dcterms:W3CDTF">2020-10-09T20:44:05Z</dcterms:modified>
</cp:coreProperties>
</file>